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E:\SIC\SIGI\CALIDAD\RT03-F34_V10\"/>
    </mc:Choice>
  </mc:AlternateContent>
  <xr:revisionPtr revIDLastSave="0" documentId="8_{686E157F-0DB7-4216-85B0-DE69250A57B3}" xr6:coauthVersionLast="47" xr6:coauthVersionMax="47" xr10:uidLastSave="{00000000-0000-0000-0000-000000000000}"/>
  <bookViews>
    <workbookView xWindow="28680" yWindow="-120" windowWidth="29040" windowHeight="15840" tabRatio="613" firstSheet="1" activeTab="1" xr2:uid="{00000000-000D-0000-FFFF-FFFF00000000}"/>
  </bookViews>
  <sheets>
    <sheet name="DATOS # " sheetId="15" state="hidden" r:id="rId1"/>
    <sheet name="RT03-F34 #" sheetId="8" r:id="rId2"/>
    <sheet name="Pc # " sheetId="30" state="hidden" r:id="rId3"/>
  </sheets>
  <externalReferences>
    <externalReference r:id="rId4"/>
    <externalReference r:id="rId5"/>
    <externalReference r:id="rId6"/>
  </externalReferences>
  <definedNames>
    <definedName name="a1_">'[1]APROXIMACION LINEL'!$C$21</definedName>
    <definedName name="_xlnm.Print_Area" localSheetId="0">'DATOS # '!$A$1:$V$262</definedName>
    <definedName name="_xlnm.Print_Area" localSheetId="2">'Pc # '!$A$1:$Q$43</definedName>
    <definedName name="_xlnm.Print_Area" localSheetId="1">'RT03-F34 #'!$A$1:$Q$196</definedName>
    <definedName name="DELTAMAXI">'[2]PRUEBAS DE CALIBRACION'!$G$18</definedName>
    <definedName name="DIVISIÓNDEESCALA">[2]DATOS!$E$13</definedName>
    <definedName name="factordecobertura">'[3]COMPONENTES DE INCERTI'!$G$32:$K$32</definedName>
    <definedName name="LEXCENTRICIDAD">'[2]PRUEBAS DE CALIBRACION'!$H$11</definedName>
    <definedName name="Print_Area" localSheetId="0">'DATOS # '!$A$1:$T$177</definedName>
    <definedName name="Print_Area" localSheetId="1">'RT03-F34 #'!$A$1:$L$146</definedName>
    <definedName name="Print_Titles" localSheetId="1">'RT03-F34 #'!$1:$3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5" i="8" l="1"/>
  <c r="H75" i="8"/>
  <c r="G75" i="8"/>
  <c r="F75" i="8"/>
  <c r="P124" i="15"/>
  <c r="P125" i="15"/>
  <c r="J90" i="8"/>
  <c r="I90" i="8"/>
  <c r="H90" i="8"/>
  <c r="G90" i="8"/>
  <c r="F90" i="8"/>
  <c r="J75" i="8"/>
  <c r="J82" i="8"/>
  <c r="I82" i="8"/>
  <c r="H82" i="8"/>
  <c r="G82" i="8"/>
  <c r="F82" i="8"/>
  <c r="D15" i="8"/>
  <c r="D14" i="8"/>
  <c r="D13" i="8"/>
  <c r="D12" i="8"/>
  <c r="D11" i="8"/>
  <c r="D10" i="8"/>
  <c r="D9" i="8"/>
  <c r="J25" i="8"/>
  <c r="I25" i="8"/>
  <c r="H25" i="8"/>
  <c r="G25" i="8"/>
  <c r="J24" i="8"/>
  <c r="I24" i="8"/>
  <c r="H24" i="8"/>
  <c r="G24" i="8"/>
  <c r="J23" i="8"/>
  <c r="I23" i="8"/>
  <c r="H23" i="8"/>
  <c r="G23" i="8"/>
  <c r="J22" i="8"/>
  <c r="I22" i="8"/>
  <c r="H22" i="8"/>
  <c r="G22" i="8"/>
  <c r="J21" i="8"/>
  <c r="I21" i="8"/>
  <c r="H21" i="8"/>
  <c r="G21" i="8"/>
  <c r="I9" i="8"/>
  <c r="T121" i="15"/>
  <c r="R126" i="15"/>
  <c r="S126" i="15"/>
  <c r="P126" i="15"/>
  <c r="K126" i="15"/>
  <c r="M126" i="15"/>
  <c r="L126" i="15"/>
  <c r="N126" i="15"/>
  <c r="O126" i="15"/>
  <c r="R125" i="15"/>
  <c r="S125" i="15"/>
  <c r="K125" i="15"/>
  <c r="M125" i="15"/>
  <c r="L125" i="15"/>
  <c r="N125" i="15"/>
  <c r="R124" i="15"/>
  <c r="S124" i="15"/>
  <c r="Q124" i="15"/>
  <c r="Q125" i="15"/>
  <c r="Q126" i="15"/>
  <c r="P123" i="15"/>
  <c r="L124" i="15"/>
  <c r="N124" i="15"/>
  <c r="K124" i="15"/>
  <c r="M124" i="15"/>
  <c r="O124" i="15"/>
  <c r="O125" i="15"/>
  <c r="S123" i="15"/>
  <c r="R123" i="15"/>
  <c r="Q123" i="15"/>
  <c r="L123" i="15"/>
  <c r="N123" i="15"/>
  <c r="K123" i="15"/>
  <c r="M123" i="15"/>
  <c r="S122" i="15"/>
  <c r="P122" i="15"/>
  <c r="L122" i="15"/>
  <c r="N122" i="15"/>
  <c r="K122" i="15"/>
  <c r="M122" i="15"/>
  <c r="K121" i="15"/>
  <c r="S121" i="15"/>
  <c r="P121" i="15"/>
  <c r="L121" i="15"/>
  <c r="I121" i="15"/>
  <c r="J121" i="15"/>
  <c r="H121" i="15"/>
  <c r="F121" i="15"/>
  <c r="E121" i="15"/>
  <c r="D121" i="15"/>
  <c r="O122" i="15"/>
  <c r="N121" i="15"/>
  <c r="O123" i="15"/>
  <c r="M121" i="15"/>
  <c r="O121" i="15"/>
  <c r="I152" i="8"/>
  <c r="M152" i="8"/>
  <c r="O152" i="8"/>
  <c r="N152" i="8"/>
  <c r="K156" i="8"/>
  <c r="I15" i="8"/>
  <c r="I14" i="8"/>
  <c r="I13" i="8"/>
  <c r="I12" i="8"/>
  <c r="I11" i="8"/>
  <c r="I10" i="8"/>
  <c r="M106" i="15"/>
  <c r="N106" i="15"/>
  <c r="M107" i="15"/>
  <c r="N107" i="15"/>
  <c r="M108" i="15"/>
  <c r="N108" i="15"/>
  <c r="M109" i="15"/>
  <c r="N109" i="15"/>
  <c r="M110" i="15"/>
  <c r="N110" i="15"/>
  <c r="M111" i="15"/>
  <c r="N111" i="15"/>
  <c r="M112" i="15"/>
  <c r="N112" i="15"/>
  <c r="M113" i="15"/>
  <c r="N113" i="15"/>
  <c r="M114" i="15"/>
  <c r="N114" i="15"/>
  <c r="M115" i="15"/>
  <c r="N115" i="15"/>
  <c r="M116" i="15"/>
  <c r="N116" i="15"/>
  <c r="M117" i="15"/>
  <c r="N117" i="15"/>
  <c r="M118" i="15"/>
  <c r="N118" i="15"/>
  <c r="M119" i="15"/>
  <c r="N119" i="15"/>
  <c r="M120" i="15"/>
  <c r="N120" i="15"/>
  <c r="N105" i="15"/>
  <c r="M105" i="15"/>
  <c r="G6" i="8"/>
  <c r="F6" i="8"/>
  <c r="D147" i="8"/>
  <c r="E6" i="8"/>
  <c r="D6" i="8"/>
  <c r="O110" i="15"/>
  <c r="O108" i="15"/>
  <c r="O106" i="15"/>
  <c r="O105" i="15"/>
  <c r="O119" i="15"/>
  <c r="O115" i="15"/>
  <c r="O111" i="15"/>
  <c r="O113" i="15"/>
  <c r="O118" i="15"/>
  <c r="O116" i="15"/>
  <c r="O112" i="15"/>
  <c r="O114" i="15"/>
  <c r="O120" i="15"/>
  <c r="O117" i="15"/>
  <c r="O107" i="15"/>
  <c r="O109" i="15"/>
  <c r="C8" i="30"/>
  <c r="C7" i="30"/>
  <c r="J89" i="15"/>
  <c r="J91" i="15"/>
  <c r="J92" i="15"/>
  <c r="R104" i="15"/>
  <c r="C104" i="15"/>
  <c r="E104" i="15"/>
  <c r="F104" i="15"/>
  <c r="G104" i="15"/>
  <c r="H104" i="15"/>
  <c r="I104" i="15"/>
  <c r="J104" i="15"/>
  <c r="K104" i="15"/>
  <c r="L104" i="15"/>
  <c r="M104" i="15"/>
  <c r="N104" i="15"/>
  <c r="P104" i="15"/>
  <c r="N103" i="15"/>
  <c r="R103" i="15"/>
  <c r="M103" i="15"/>
  <c r="L103" i="15"/>
  <c r="K103" i="15"/>
  <c r="J103" i="15"/>
  <c r="J102" i="15"/>
  <c r="I103" i="15"/>
  <c r="H103" i="15"/>
  <c r="G103" i="15"/>
  <c r="F103" i="15"/>
  <c r="E103" i="15"/>
  <c r="C103" i="15"/>
  <c r="R102" i="15"/>
  <c r="N102" i="15"/>
  <c r="M102" i="15"/>
  <c r="L102" i="15"/>
  <c r="K102" i="15"/>
  <c r="I102" i="15"/>
  <c r="H102" i="15"/>
  <c r="G102" i="15"/>
  <c r="F102" i="15"/>
  <c r="E102" i="15"/>
  <c r="C102" i="15"/>
  <c r="C101" i="15"/>
  <c r="E101" i="15"/>
  <c r="R101" i="15"/>
  <c r="M101" i="15"/>
  <c r="N101" i="15"/>
  <c r="L101" i="15"/>
  <c r="K101" i="15"/>
  <c r="J101" i="15"/>
  <c r="I101" i="15"/>
  <c r="H101" i="15"/>
  <c r="G101" i="15"/>
  <c r="F101" i="15"/>
  <c r="O104" i="15"/>
  <c r="O94" i="15"/>
  <c r="P91" i="15"/>
  <c r="L91" i="15"/>
  <c r="L92" i="15"/>
  <c r="L89" i="15"/>
  <c r="K89" i="15"/>
  <c r="K91" i="15"/>
  <c r="K92" i="15"/>
  <c r="M92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57" i="15"/>
  <c r="O36" i="15"/>
  <c r="O37" i="15"/>
  <c r="O38" i="15"/>
  <c r="O95" i="15"/>
  <c r="O96" i="15"/>
  <c r="O97" i="15"/>
  <c r="O98" i="15"/>
  <c r="O99" i="15"/>
  <c r="O100" i="15"/>
  <c r="O101" i="15"/>
  <c r="O102" i="15"/>
  <c r="O103" i="15"/>
  <c r="Q73" i="15"/>
  <c r="Q72" i="15"/>
  <c r="L32" i="8"/>
  <c r="C217" i="15"/>
  <c r="C215" i="15"/>
  <c r="C216" i="15"/>
  <c r="C214" i="15"/>
  <c r="C213" i="15"/>
  <c r="C212" i="15"/>
  <c r="Q104" i="15"/>
  <c r="Q103" i="15"/>
  <c r="Q102" i="15"/>
  <c r="Q101" i="15"/>
  <c r="Q100" i="15"/>
  <c r="Q99" i="15"/>
  <c r="Q98" i="15"/>
  <c r="Q97" i="15"/>
  <c r="Q96" i="15"/>
  <c r="Q95" i="15"/>
  <c r="Q94" i="15"/>
  <c r="P103" i="15"/>
  <c r="P102" i="15"/>
  <c r="P101" i="15"/>
  <c r="T199" i="15"/>
  <c r="T198" i="15"/>
  <c r="T197" i="15"/>
  <c r="U201" i="15"/>
  <c r="U200" i="15"/>
  <c r="U199" i="15"/>
  <c r="U198" i="15"/>
  <c r="U197" i="15"/>
  <c r="T201" i="15"/>
  <c r="T200" i="15"/>
  <c r="S201" i="15"/>
  <c r="S200" i="15"/>
  <c r="S199" i="15"/>
  <c r="S198" i="15"/>
  <c r="S197" i="15"/>
  <c r="R201" i="15"/>
  <c r="R200" i="15"/>
  <c r="R199" i="15"/>
  <c r="R198" i="15"/>
  <c r="R197" i="15"/>
  <c r="Q201" i="15"/>
  <c r="Q200" i="15"/>
  <c r="Q199" i="15"/>
  <c r="Q198" i="15"/>
  <c r="Q197" i="15"/>
  <c r="P201" i="15"/>
  <c r="P200" i="15"/>
  <c r="P199" i="15"/>
  <c r="P198" i="15"/>
  <c r="P197" i="15"/>
  <c r="L201" i="15"/>
  <c r="L200" i="15"/>
  <c r="L199" i="15"/>
  <c r="L198" i="15"/>
  <c r="L197" i="15"/>
  <c r="K201" i="15"/>
  <c r="K200" i="15"/>
  <c r="K199" i="15"/>
  <c r="K198" i="15"/>
  <c r="K197" i="15"/>
  <c r="J201" i="15"/>
  <c r="J200" i="15"/>
  <c r="J199" i="15"/>
  <c r="J198" i="15"/>
  <c r="I201" i="15"/>
  <c r="I200" i="15"/>
  <c r="I199" i="15"/>
  <c r="I198" i="15"/>
  <c r="H201" i="15"/>
  <c r="H200" i="15"/>
  <c r="H199" i="15"/>
  <c r="H198" i="15"/>
  <c r="H197" i="15"/>
  <c r="Q179" i="15"/>
  <c r="O201" i="15"/>
  <c r="P179" i="15"/>
  <c r="N201" i="15"/>
  <c r="O179" i="15"/>
  <c r="M201" i="15"/>
  <c r="Q169" i="15"/>
  <c r="O200" i="15"/>
  <c r="P169" i="15"/>
  <c r="N200" i="15"/>
  <c r="O169" i="15"/>
  <c r="M200" i="15"/>
  <c r="Q158" i="15"/>
  <c r="O199" i="15"/>
  <c r="P158" i="15"/>
  <c r="N199" i="15"/>
  <c r="O158" i="15"/>
  <c r="M199" i="15"/>
  <c r="Q147" i="15"/>
  <c r="O198" i="15"/>
  <c r="P147" i="15"/>
  <c r="N198" i="15"/>
  <c r="O147" i="15"/>
  <c r="M198" i="15"/>
  <c r="Q136" i="15"/>
  <c r="O197" i="15"/>
  <c r="P136" i="15"/>
  <c r="N197" i="15"/>
  <c r="O136" i="15"/>
  <c r="M197" i="15"/>
  <c r="G65" i="8"/>
  <c r="E64" i="8"/>
  <c r="J28" i="8"/>
  <c r="I65" i="8"/>
  <c r="E29" i="8"/>
  <c r="G28" i="8"/>
  <c r="I64" i="8"/>
  <c r="H29" i="8"/>
  <c r="E65" i="8"/>
  <c r="G64" i="8"/>
  <c r="J29" i="8"/>
  <c r="L74" i="8"/>
  <c r="Q29" i="15"/>
  <c r="Q89" i="15"/>
  <c r="P92" i="15"/>
  <c r="P89" i="15"/>
  <c r="N92" i="15"/>
  <c r="Q92" i="15"/>
  <c r="O92" i="15"/>
  <c r="N131" i="8"/>
  <c r="R132" i="8"/>
  <c r="U132" i="8"/>
  <c r="I70" i="8"/>
  <c r="K92" i="8"/>
  <c r="N89" i="15"/>
  <c r="M89" i="15"/>
  <c r="O89" i="15"/>
  <c r="E10" i="30"/>
  <c r="M91" i="15"/>
  <c r="N91" i="15"/>
  <c r="Q91" i="15"/>
  <c r="Q34" i="15"/>
  <c r="Q35" i="15"/>
  <c r="P35" i="15"/>
  <c r="P34" i="15"/>
  <c r="L34" i="15"/>
  <c r="N34" i="15"/>
  <c r="K35" i="15"/>
  <c r="M35" i="15"/>
  <c r="K34" i="15"/>
  <c r="M34" i="15"/>
  <c r="L35" i="15"/>
  <c r="N35" i="15"/>
  <c r="I35" i="15"/>
  <c r="H35" i="15"/>
  <c r="I34" i="15"/>
  <c r="H34" i="15"/>
  <c r="O34" i="15"/>
  <c r="O35" i="15"/>
  <c r="O91" i="15"/>
  <c r="B58" i="8"/>
  <c r="N29" i="15"/>
  <c r="Q90" i="8"/>
  <c r="Q91" i="8"/>
  <c r="Q92" i="8"/>
  <c r="Q93" i="8"/>
  <c r="Q89" i="8"/>
  <c r="H31" i="15"/>
  <c r="H32" i="15"/>
  <c r="H33" i="15"/>
  <c r="H30" i="15"/>
  <c r="Q33" i="15"/>
  <c r="Q32" i="15"/>
  <c r="Q31" i="15"/>
  <c r="Q30" i="15"/>
  <c r="I31" i="15"/>
  <c r="I32" i="15"/>
  <c r="I33" i="15"/>
  <c r="I30" i="15"/>
  <c r="Q87" i="8"/>
  <c r="E34" i="8"/>
  <c r="C37" i="8"/>
  <c r="D37" i="8"/>
  <c r="E37" i="8"/>
  <c r="F37" i="8"/>
  <c r="G37" i="8"/>
  <c r="I59" i="8"/>
  <c r="J59" i="8"/>
  <c r="B113" i="8"/>
  <c r="D48" i="8"/>
  <c r="E48" i="8"/>
  <c r="M90" i="15"/>
  <c r="M88" i="15"/>
  <c r="M87" i="15"/>
  <c r="M86" i="15"/>
  <c r="M85" i="15"/>
  <c r="M84" i="15"/>
  <c r="M83" i="15"/>
  <c r="M82" i="15"/>
  <c r="M81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30" i="15"/>
  <c r="M31" i="15"/>
  <c r="M32" i="15"/>
  <c r="M33" i="15"/>
  <c r="M29" i="15"/>
  <c r="O29" i="15"/>
  <c r="H116" i="8"/>
  <c r="F120" i="8"/>
  <c r="M119" i="8"/>
  <c r="K90" i="8"/>
  <c r="N55" i="8"/>
  <c r="J197" i="15"/>
  <c r="E28" i="8"/>
  <c r="I197" i="15"/>
  <c r="C28" i="8"/>
  <c r="I195" i="15"/>
  <c r="J195" i="15"/>
  <c r="Q56" i="15"/>
  <c r="Q75" i="15"/>
  <c r="Q76" i="15"/>
  <c r="Q77" i="15"/>
  <c r="Q78" i="15"/>
  <c r="Q79" i="15"/>
  <c r="Q80" i="15"/>
  <c r="Q81" i="15"/>
  <c r="Q82" i="15"/>
  <c r="Q83" i="15"/>
  <c r="Q84" i="15"/>
  <c r="Q85" i="15"/>
  <c r="Q86" i="15"/>
  <c r="Q87" i="15"/>
  <c r="Q88" i="15"/>
  <c r="Q90" i="15"/>
  <c r="Q74" i="15"/>
  <c r="Q39" i="15"/>
  <c r="Q43" i="15"/>
  <c r="Q44" i="15"/>
  <c r="Q45" i="15"/>
  <c r="Q121" i="15"/>
  <c r="Q46" i="15"/>
  <c r="Q122" i="15"/>
  <c r="Q47" i="15"/>
  <c r="Q48" i="15"/>
  <c r="Q49" i="15"/>
  <c r="Q50" i="15"/>
  <c r="Q51" i="15"/>
  <c r="Q52" i="15"/>
  <c r="Q53" i="15"/>
  <c r="Q54" i="15"/>
  <c r="Q55" i="15"/>
  <c r="Q41" i="15"/>
  <c r="Q42" i="15"/>
  <c r="Q40" i="15"/>
  <c r="B6" i="8"/>
  <c r="C6" i="8"/>
  <c r="N40" i="15"/>
  <c r="N41" i="15"/>
  <c r="O41" i="15"/>
  <c r="N42" i="15"/>
  <c r="N43" i="15"/>
  <c r="N44" i="15"/>
  <c r="N45" i="15"/>
  <c r="O45" i="15"/>
  <c r="N46" i="15"/>
  <c r="N47" i="15"/>
  <c r="N48" i="15"/>
  <c r="N49" i="15"/>
  <c r="O49" i="15"/>
  <c r="N50" i="15"/>
  <c r="N51" i="15"/>
  <c r="N52" i="15"/>
  <c r="N53" i="15"/>
  <c r="O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90" i="15"/>
  <c r="N39" i="15"/>
  <c r="O39" i="15"/>
  <c r="N30" i="15"/>
  <c r="N31" i="15"/>
  <c r="N32" i="15"/>
  <c r="N33" i="15"/>
  <c r="N130" i="8"/>
  <c r="R131" i="8"/>
  <c r="U131" i="8"/>
  <c r="E26" i="8"/>
  <c r="B26" i="8"/>
  <c r="R75" i="15"/>
  <c r="R76" i="15"/>
  <c r="R77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40" i="15"/>
  <c r="R41" i="15"/>
  <c r="R42" i="15"/>
  <c r="R43" i="15"/>
  <c r="R44" i="15"/>
  <c r="R45" i="15"/>
  <c r="J89" i="8"/>
  <c r="I89" i="8"/>
  <c r="H89" i="8"/>
  <c r="G89" i="8"/>
  <c r="F89" i="8"/>
  <c r="I58" i="8"/>
  <c r="J58" i="8"/>
  <c r="B112" i="8"/>
  <c r="I57" i="8"/>
  <c r="J57" i="8"/>
  <c r="B111" i="8"/>
  <c r="I56" i="8"/>
  <c r="J56" i="8"/>
  <c r="B110" i="8"/>
  <c r="I55" i="8"/>
  <c r="D50" i="8"/>
  <c r="E50" i="8"/>
  <c r="C50" i="8"/>
  <c r="D49" i="8"/>
  <c r="E49" i="8"/>
  <c r="C49" i="8"/>
  <c r="C48" i="8"/>
  <c r="A46" i="8"/>
  <c r="A45" i="8"/>
  <c r="A44" i="8"/>
  <c r="B57" i="8"/>
  <c r="O54" i="15"/>
  <c r="O50" i="15"/>
  <c r="O46" i="15"/>
  <c r="O42" i="15"/>
  <c r="O72" i="15"/>
  <c r="O56" i="15"/>
  <c r="R46" i="15"/>
  <c r="R121" i="15"/>
  <c r="O52" i="15"/>
  <c r="O48" i="15"/>
  <c r="O44" i="15"/>
  <c r="O40" i="15"/>
  <c r="O73" i="15"/>
  <c r="O32" i="15"/>
  <c r="O33" i="15"/>
  <c r="O31" i="15"/>
  <c r="C26" i="8"/>
  <c r="O30" i="15"/>
  <c r="O55" i="15"/>
  <c r="O51" i="15"/>
  <c r="O47" i="15"/>
  <c r="O43" i="15"/>
  <c r="O75" i="15"/>
  <c r="O76" i="15"/>
  <c r="O74" i="15"/>
  <c r="O77" i="15"/>
  <c r="O79" i="15"/>
  <c r="O83" i="15"/>
  <c r="O87" i="15"/>
  <c r="O80" i="15"/>
  <c r="O84" i="15"/>
  <c r="O88" i="15"/>
  <c r="O81" i="15"/>
  <c r="O85" i="15"/>
  <c r="O90" i="15"/>
  <c r="O78" i="15"/>
  <c r="O82" i="15"/>
  <c r="O86" i="15"/>
  <c r="O59" i="15"/>
  <c r="O63" i="15"/>
  <c r="O67" i="15"/>
  <c r="O71" i="15"/>
  <c r="O60" i="15"/>
  <c r="O64" i="15"/>
  <c r="O68" i="15"/>
  <c r="O57" i="15"/>
  <c r="O61" i="15"/>
  <c r="O65" i="15"/>
  <c r="O69" i="15"/>
  <c r="O58" i="15"/>
  <c r="O62" i="15"/>
  <c r="O66" i="15"/>
  <c r="O70" i="15"/>
  <c r="R78" i="15"/>
  <c r="R79" i="15"/>
  <c r="R80" i="15"/>
  <c r="R81" i="15"/>
  <c r="R82" i="15"/>
  <c r="R83" i="15"/>
  <c r="F81" i="8"/>
  <c r="B56" i="8"/>
  <c r="D56" i="8"/>
  <c r="B55" i="8"/>
  <c r="D55" i="8"/>
  <c r="E8" i="30"/>
  <c r="B59" i="8"/>
  <c r="D59" i="8"/>
  <c r="J55" i="8"/>
  <c r="B109" i="8"/>
  <c r="I76" i="8"/>
  <c r="G77" i="8"/>
  <c r="J76" i="8"/>
  <c r="K89" i="8"/>
  <c r="N128" i="8"/>
  <c r="R129" i="8"/>
  <c r="F76" i="8"/>
  <c r="H77" i="8"/>
  <c r="K93" i="8"/>
  <c r="F70" i="8"/>
  <c r="N129" i="8"/>
  <c r="R130" i="8"/>
  <c r="U130" i="8"/>
  <c r="G70" i="8"/>
  <c r="K58" i="8"/>
  <c r="M92" i="8"/>
  <c r="F48" i="8"/>
  <c r="G38" i="8"/>
  <c r="E38" i="8"/>
  <c r="C38" i="8"/>
  <c r="F38" i="8"/>
  <c r="D38" i="8"/>
  <c r="D58" i="8"/>
  <c r="D57" i="8"/>
  <c r="K57" i="8"/>
  <c r="H70" i="8"/>
  <c r="K91" i="8"/>
  <c r="B50" i="8"/>
  <c r="B49" i="8"/>
  <c r="B48" i="8"/>
  <c r="G34" i="8"/>
  <c r="J77" i="8"/>
  <c r="F77" i="8"/>
  <c r="G76" i="8"/>
  <c r="I77" i="8"/>
  <c r="H76" i="8"/>
  <c r="F74" i="8"/>
  <c r="C147" i="8"/>
  <c r="J152" i="8"/>
  <c r="K152" i="8"/>
  <c r="L152" i="8"/>
  <c r="K154" i="8"/>
  <c r="M161" i="8"/>
  <c r="U129" i="8"/>
  <c r="R47" i="15"/>
  <c r="R48" i="15"/>
  <c r="R49" i="15"/>
  <c r="R50" i="15"/>
  <c r="R51" i="15"/>
  <c r="R52" i="15"/>
  <c r="R53" i="15"/>
  <c r="R54" i="15"/>
  <c r="R55" i="15"/>
  <c r="R122" i="15"/>
  <c r="F80" i="8"/>
  <c r="F83" i="8"/>
  <c r="F97" i="8"/>
  <c r="R84" i="15"/>
  <c r="R85" i="15"/>
  <c r="R86" i="15"/>
  <c r="R87" i="15"/>
  <c r="D26" i="8"/>
  <c r="K55" i="8"/>
  <c r="M89" i="8"/>
  <c r="E7" i="30"/>
  <c r="E9" i="30"/>
  <c r="E11" i="30"/>
  <c r="E55" i="8"/>
  <c r="K56" i="8"/>
  <c r="M90" i="8"/>
  <c r="E56" i="8"/>
  <c r="C119" i="8"/>
  <c r="K59" i="8"/>
  <c r="M93" i="8"/>
  <c r="L58" i="8"/>
  <c r="L92" i="8"/>
  <c r="C112" i="8"/>
  <c r="J74" i="8"/>
  <c r="H74" i="8"/>
  <c r="C121" i="8"/>
  <c r="G74" i="8"/>
  <c r="I74" i="8"/>
  <c r="C39" i="8"/>
  <c r="N132" i="8"/>
  <c r="R133" i="8"/>
  <c r="U133" i="8"/>
  <c r="E58" i="8"/>
  <c r="J70" i="8"/>
  <c r="L57" i="8"/>
  <c r="L91" i="8"/>
  <c r="C111" i="8"/>
  <c r="M91" i="8"/>
  <c r="E57" i="8"/>
  <c r="E59" i="8"/>
  <c r="R134" i="8"/>
  <c r="V129" i="8"/>
  <c r="U134" i="8"/>
  <c r="L55" i="8"/>
  <c r="L89" i="8"/>
  <c r="C109" i="8"/>
  <c r="R88" i="15"/>
  <c r="R89" i="15"/>
  <c r="L56" i="8"/>
  <c r="L90" i="8"/>
  <c r="C110" i="8"/>
  <c r="F10" i="30"/>
  <c r="L10" i="30"/>
  <c r="C120" i="8"/>
  <c r="H73" i="8"/>
  <c r="H78" i="8"/>
  <c r="H92" i="8"/>
  <c r="J73" i="8"/>
  <c r="J80" i="8"/>
  <c r="N75" i="8"/>
  <c r="F73" i="8"/>
  <c r="F78" i="8"/>
  <c r="F92" i="8"/>
  <c r="I73" i="8"/>
  <c r="I78" i="8"/>
  <c r="I92" i="8"/>
  <c r="G73" i="8"/>
  <c r="G78" i="8"/>
  <c r="G92" i="8"/>
  <c r="L59" i="8"/>
  <c r="L93" i="8"/>
  <c r="C113" i="8"/>
  <c r="F8" i="30"/>
  <c r="L8" i="30"/>
  <c r="G81" i="8"/>
  <c r="G80" i="8"/>
  <c r="R90" i="15"/>
  <c r="R91" i="15"/>
  <c r="F85" i="8"/>
  <c r="F9" i="30"/>
  <c r="L9" i="30"/>
  <c r="F11" i="30"/>
  <c r="L11" i="30"/>
  <c r="F7" i="30"/>
  <c r="L7" i="30"/>
  <c r="J78" i="8"/>
  <c r="J92" i="8"/>
  <c r="G83" i="8"/>
  <c r="G97" i="8"/>
  <c r="R92" i="15"/>
  <c r="H81" i="8"/>
  <c r="H80" i="8"/>
  <c r="F99" i="8"/>
  <c r="D109" i="8"/>
  <c r="E109" i="8"/>
  <c r="F109" i="8"/>
  <c r="F101" i="8"/>
  <c r="F104" i="8"/>
  <c r="G85" i="8"/>
  <c r="I81" i="8"/>
  <c r="I80" i="8"/>
  <c r="J81" i="8"/>
  <c r="H83" i="8"/>
  <c r="G109" i="8"/>
  <c r="G99" i="8"/>
  <c r="N81" i="8"/>
  <c r="N80" i="8"/>
  <c r="N73" i="8"/>
  <c r="N77" i="8"/>
  <c r="N74" i="8"/>
  <c r="N76" i="8"/>
  <c r="N82" i="8"/>
  <c r="D110" i="8"/>
  <c r="E110" i="8"/>
  <c r="I83" i="8"/>
  <c r="I85" i="8"/>
  <c r="J83" i="8"/>
  <c r="H97" i="8"/>
  <c r="H85" i="8"/>
  <c r="G101" i="8"/>
  <c r="G104" i="8"/>
  <c r="M97" i="8"/>
  <c r="N97" i="8"/>
  <c r="N89" i="8"/>
  <c r="O89" i="8"/>
  <c r="F110" i="8"/>
  <c r="G110" i="8"/>
  <c r="I97" i="8"/>
  <c r="I99" i="8"/>
  <c r="I101" i="8"/>
  <c r="I104" i="8"/>
  <c r="D111" i="8"/>
  <c r="E111" i="8"/>
  <c r="H99" i="8"/>
  <c r="H101" i="8"/>
  <c r="H104" i="8"/>
  <c r="D112" i="8"/>
  <c r="E112" i="8"/>
  <c r="J97" i="8"/>
  <c r="J85" i="8"/>
  <c r="M75" i="8"/>
  <c r="N93" i="8"/>
  <c r="N91" i="8"/>
  <c r="O91" i="8"/>
  <c r="N92" i="8"/>
  <c r="P92" i="8"/>
  <c r="P89" i="8"/>
  <c r="N90" i="8"/>
  <c r="M82" i="8"/>
  <c r="M76" i="8"/>
  <c r="M77" i="8"/>
  <c r="M74" i="8"/>
  <c r="M73" i="8"/>
  <c r="M81" i="8"/>
  <c r="M80" i="8"/>
  <c r="J99" i="8"/>
  <c r="J101" i="8"/>
  <c r="J104" i="8"/>
  <c r="D113" i="8"/>
  <c r="E113" i="8"/>
  <c r="F111" i="8"/>
  <c r="G111" i="8"/>
  <c r="F112" i="8"/>
  <c r="G112" i="8"/>
  <c r="K99" i="8"/>
  <c r="O92" i="8"/>
  <c r="P91" i="8"/>
  <c r="P90" i="8"/>
  <c r="O90" i="8"/>
  <c r="M83" i="8"/>
  <c r="O93" i="8"/>
  <c r="P93" i="8"/>
  <c r="F113" i="8"/>
  <c r="F114" i="8"/>
  <c r="G113" i="8"/>
  <c r="G114" i="8"/>
  <c r="C118" i="8"/>
  <c r="C116" i="8"/>
  <c r="G9" i="30"/>
  <c r="M9" i="30"/>
  <c r="J9" i="30"/>
  <c r="G10" i="30"/>
  <c r="M10" i="30"/>
  <c r="J10" i="30"/>
  <c r="G11" i="30"/>
  <c r="M11" i="30"/>
  <c r="J11" i="30"/>
  <c r="H110" i="8"/>
  <c r="H111" i="8"/>
  <c r="H109" i="8"/>
  <c r="F140" i="8"/>
  <c r="F141" i="8"/>
  <c r="C117" i="8"/>
  <c r="H113" i="8"/>
  <c r="H112" i="8"/>
  <c r="H114" i="8"/>
  <c r="F118" i="8"/>
  <c r="K119" i="8"/>
  <c r="K120" i="8"/>
  <c r="I109" i="8"/>
  <c r="I110" i="8"/>
  <c r="E135" i="8"/>
  <c r="I113" i="8"/>
  <c r="I111" i="8"/>
  <c r="I112" i="8"/>
  <c r="G135" i="8"/>
  <c r="J113" i="8"/>
  <c r="K113" i="8"/>
  <c r="O132" i="8"/>
  <c r="S133" i="8"/>
  <c r="T133" i="8"/>
  <c r="J112" i="8"/>
  <c r="K112" i="8"/>
  <c r="O131" i="8"/>
  <c r="S132" i="8"/>
  <c r="T132" i="8"/>
  <c r="K110" i="8"/>
  <c r="O129" i="8"/>
  <c r="S130" i="8"/>
  <c r="T130" i="8"/>
  <c r="J110" i="8"/>
  <c r="K111" i="8"/>
  <c r="O130" i="8"/>
  <c r="S131" i="8"/>
  <c r="T131" i="8"/>
  <c r="J111" i="8"/>
  <c r="K109" i="8"/>
  <c r="J109" i="8"/>
  <c r="I114" i="8"/>
  <c r="G8" i="30"/>
  <c r="M8" i="30"/>
  <c r="J8" i="30"/>
  <c r="G7" i="30"/>
  <c r="M7" i="30"/>
  <c r="J7" i="30"/>
  <c r="Y129" i="8"/>
  <c r="O128" i="8"/>
  <c r="S129" i="8"/>
  <c r="S134" i="8"/>
  <c r="W129" i="8"/>
  <c r="X129" i="8"/>
  <c r="T129" i="8"/>
  <c r="T134" i="8"/>
  <c r="D125" i="8"/>
  <c r="M140" i="8"/>
  <c r="M141" i="8"/>
  <c r="D124" i="8"/>
  <c r="E136" i="8"/>
  <c r="O140" i="8"/>
  <c r="O141" i="8"/>
  <c r="G136" i="8"/>
  <c r="H125" i="8"/>
  <c r="K7" i="30"/>
  <c r="N7" i="30"/>
  <c r="K9" i="30"/>
  <c r="N9" i="30"/>
  <c r="K10" i="30"/>
  <c r="N10" i="30"/>
  <c r="K11" i="30"/>
  <c r="N11" i="30"/>
  <c r="K8" i="30"/>
  <c r="N8" i="30"/>
  <c r="L113" i="8"/>
  <c r="M113" i="8"/>
  <c r="L110" i="8"/>
  <c r="M110" i="8"/>
  <c r="L111" i="8"/>
  <c r="M111" i="8"/>
  <c r="L109" i="8"/>
  <c r="M109" i="8"/>
  <c r="L112" i="8"/>
  <c r="M112" i="8"/>
  <c r="F12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  <author>tc={5C34B39C-EAA2-487A-8A9D-B9A81BD5EEB0}</author>
  </authors>
  <commentList>
    <comment ref="C35" authorId="0" shapeId="0" xr:uid="{00000000-0006-0000-0000-000001000000}">
      <text>
        <r>
          <rPr>
            <sz val="11"/>
            <color indexed="81"/>
            <rFont val="Tahoma"/>
            <family val="2"/>
          </rPr>
          <t xml:space="preserve">TENER ENCUENTA LA CARGA MAXIMA SEGÚN LA BALANZA A CALIBRAR
</t>
        </r>
      </text>
    </comment>
    <comment ref="H131" authorId="1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agregado algebraicamente al resultado no corregido de una medición para compensar un error sistemático. Nota: la corrección es igual al error sistemático, con signo negativo.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EQUIPO01</author>
    <author>Elvis Aguirre Romero</author>
    <author>STIVINSON</author>
  </authors>
  <commentList>
    <comment ref="B3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SIM MWG7/cg-01v.00, 
Ecuación 6.3.1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Ecuación </t>
        </r>
        <r>
          <rPr>
            <sz val="9"/>
            <color indexed="81"/>
            <rFont val="Tahoma"/>
            <family val="2"/>
          </rPr>
          <t>6.1-1
SIM MWG7/cg-01v.00</t>
        </r>
      </text>
    </comment>
    <comment ref="A73" authorId="1" shapeId="0" xr:uid="{00000000-0006-0000-0100-000003000000}">
      <text>
        <r>
          <rPr>
            <sz val="9"/>
            <color indexed="81"/>
            <rFont val="Tahoma"/>
            <family val="2"/>
          </rPr>
          <t>Ecuación 7.1.1-10
SIM MWG7/cg-01v.00.</t>
        </r>
      </text>
    </comment>
    <comment ref="A74" authorId="1" shapeId="0" xr:uid="{00000000-0006-0000-0100-000004000000}">
      <text>
        <r>
          <rPr>
            <sz val="9"/>
            <color indexed="81"/>
            <rFont val="Tahoma"/>
            <family val="2"/>
          </rPr>
          <t>Ecuación 7.1.1-5
SIM MWG7/cg-01v.00</t>
        </r>
      </text>
    </comment>
    <comment ref="A76" authorId="1" shapeId="0" xr:uid="{00000000-0006-0000-0100-000005000000}">
      <text>
        <r>
          <rPr>
            <sz val="9"/>
            <color indexed="81"/>
            <rFont val="Tahoma"/>
            <family val="2"/>
          </rPr>
          <t xml:space="preserve">Ecuación 7.1.1-3 a
SIM MWG7/cg-01v.00, </t>
        </r>
      </text>
    </comment>
    <comment ref="A77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Ecuación 7.1.1-3 b
SIM MWG7/cg-01v.00
</t>
        </r>
      </text>
    </comment>
    <comment ref="A80" authorId="1" shapeId="0" xr:uid="{00000000-0006-0000-0100-000007000000}">
      <text>
        <r>
          <rPr>
            <sz val="9"/>
            <color indexed="81"/>
            <rFont val="Tahoma"/>
            <family val="2"/>
          </rPr>
          <t>Ecuación 7.1.2-2
SIM MWG7/cg-01v.00</t>
        </r>
      </text>
    </comment>
    <comment ref="A82" authorId="2" shapeId="0" xr:uid="{00000000-0006-0000-0100-000008000000}">
      <text>
        <r>
          <rPr>
            <sz val="9"/>
            <color indexed="81"/>
            <rFont val="Tahoma"/>
            <family val="2"/>
          </rPr>
          <t>Ecuación 7.1.2-11
SIM MWG7/cg-01v.00</t>
        </r>
      </text>
    </comment>
    <comment ref="C83" authorId="1" shapeId="0" xr:uid="{00000000-0006-0000-0100-000009000000}">
      <text>
        <r>
          <rPr>
            <sz val="9"/>
            <color indexed="81"/>
            <rFont val="Tahoma"/>
            <family val="2"/>
          </rPr>
          <t xml:space="preserve">Ecuación 7.1.2-14
SIM MWG7/cg-01v.00
</t>
        </r>
      </text>
    </comment>
    <comment ref="N87" authorId="1" shapeId="0" xr:uid="{00000000-0006-0000-0100-00000A000000}">
      <text>
        <r>
          <rPr>
            <sz val="9"/>
            <color indexed="81"/>
            <rFont val="Tahoma"/>
            <family val="2"/>
          </rPr>
          <t>Ecuación 7.3-1
Incertidumbre estándar del error (mg)*2
SIM MWG7/cg-01v.00</t>
        </r>
      </text>
    </comment>
    <comment ref="A146" authorId="1" shapeId="0" xr:uid="{00000000-0006-0000-0100-00000B000000}">
      <text>
        <r>
          <rPr>
            <sz val="12"/>
            <color indexed="81"/>
            <rFont val="Tahoma"/>
            <family val="2"/>
          </rPr>
          <t>En estas celdas se digita de manera vertical las acomulaciones de desviaciones estándar. Se tiene en cuanta siempre  el ultimo numero ingresado  es el S2 new</t>
        </r>
      </text>
    </comment>
    <comment ref="C146" authorId="1" shapeId="0" xr:uid="{00000000-0006-0000-0100-00000C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El ultimo dato Ingresado es el S new (nuevo)</t>
        </r>
      </text>
    </comment>
    <comment ref="B147" authorId="1" shapeId="0" xr:uid="{00000000-0006-0000-0100-00000D000000}">
      <text>
        <r>
          <rPr>
            <sz val="12"/>
            <color indexed="81"/>
            <rFont val="Arial"/>
            <family val="2"/>
          </rPr>
          <t>Inicia con desviación estándar del fabricant</t>
        </r>
        <r>
          <rPr>
            <sz val="9"/>
            <color indexed="81"/>
            <rFont val="Tahoma"/>
            <family val="2"/>
          </rPr>
          <t xml:space="preserve">e
</t>
        </r>
      </text>
    </comment>
    <comment ref="C147" authorId="1" shapeId="0" xr:uid="{00000000-0006-0000-0100-00000E000000}">
      <text>
        <r>
          <rPr>
            <sz val="12"/>
            <color indexed="81"/>
            <rFont val="Arial"/>
            <family val="2"/>
          </rPr>
          <t xml:space="preserve"> Dato de Ejemplo En esta celda digite el dato del fabricante (valor)</t>
        </r>
      </text>
    </comment>
    <comment ref="J151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Se debe ajustar el S</t>
        </r>
        <r>
          <rPr>
            <b/>
            <vertAlign val="superscript"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Tahoma"/>
            <family val="2"/>
          </rPr>
          <t xml:space="preserve"> de acuerdo a la cantidad de datos ingresados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51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 xml:space="preserve">Tener en cuenta el numero de mediciones  para el </t>
        </r>
        <r>
          <rPr>
            <b/>
            <i/>
            <sz val="9"/>
            <color indexed="81"/>
            <rFont val="Tahoma"/>
            <family val="2"/>
          </rPr>
          <t>Sp</t>
        </r>
        <r>
          <rPr>
            <b/>
            <sz val="9"/>
            <color indexed="81"/>
            <rFont val="Tahoma"/>
            <family val="2"/>
          </rPr>
          <t xml:space="preserve"> total de          </t>
        </r>
        <r>
          <rPr>
            <b/>
            <i/>
            <sz val="9"/>
            <color indexed="81"/>
            <rFont val="Tahoma"/>
            <family val="2"/>
          </rPr>
          <t>(m - 1)</t>
        </r>
        <r>
          <rPr>
            <b/>
            <sz val="9"/>
            <color indexed="81"/>
            <rFont val="Tahoma"/>
            <family val="2"/>
          </rPr>
          <t xml:space="preserve">  que es multiplicado por los grados de libertad </t>
        </r>
        <r>
          <rPr>
            <b/>
            <i/>
            <sz val="9"/>
            <color indexed="81"/>
            <rFont val="Tahoma"/>
            <family val="2"/>
          </rPr>
          <t>S nuevo.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4" authorId="1" shapeId="0" xr:uid="{00000000-0006-0000-0100-000012000000}">
      <text>
        <r>
          <rPr>
            <sz val="9"/>
            <color indexed="81"/>
            <rFont val="Tahoma"/>
            <family val="2"/>
          </rPr>
          <t xml:space="preserve">Dato calculado
</t>
        </r>
      </text>
    </comment>
  </commentList>
</comments>
</file>

<file path=xl/sharedStrings.xml><?xml version="1.0" encoding="utf-8"?>
<sst xmlns="http://schemas.openxmlformats.org/spreadsheetml/2006/main" count="1106" uniqueCount="547">
  <si>
    <t>HOJA DE CÁLCULO PARA COMPROBACIONES INTERMEDIAS DE INSTRUMENTOS DE PESAJE DE FUNCIONAMIENTO NO AUTOMÁTICO - IPFNA</t>
  </si>
  <si>
    <t>Información IPFNA a Comprobar</t>
  </si>
  <si>
    <t>No</t>
  </si>
  <si>
    <t>Ciudad</t>
  </si>
  <si>
    <t>Fecha de Ingreso</t>
  </si>
  <si>
    <t>Código Interno</t>
  </si>
  <si>
    <t>Lugar y Dirección de Comprobación</t>
  </si>
  <si>
    <t>Fecha de Comprobación</t>
  </si>
  <si>
    <t>Comprobación N °</t>
  </si>
  <si>
    <t>k</t>
  </si>
  <si>
    <t>Nivel de Confianza</t>
  </si>
  <si>
    <t>K</t>
  </si>
  <si>
    <t>Datos de la IPFNA a Comprobar</t>
  </si>
  <si>
    <t>Fabricante</t>
  </si>
  <si>
    <t>Modelo</t>
  </si>
  <si>
    <t>Serial</t>
  </si>
  <si>
    <t>Carga Máx. (g)</t>
  </si>
  <si>
    <t>Carga Mín. (g)</t>
  </si>
  <si>
    <t xml:space="preserve">División de Escala (d)  (g)  </t>
  </si>
  <si>
    <t xml:space="preserve">Escalón de Verificación en  (g)  </t>
  </si>
  <si>
    <t xml:space="preserve"> 220 g</t>
  </si>
  <si>
    <t xml:space="preserve"> 1200 g</t>
  </si>
  <si>
    <t xml:space="preserve"> 8100 g</t>
  </si>
  <si>
    <t>35 kg</t>
  </si>
  <si>
    <t>60 kg</t>
  </si>
  <si>
    <t>Datos de las Pesas Patrón</t>
  </si>
  <si>
    <t>Pesas</t>
  </si>
  <si>
    <t>Clase</t>
  </si>
  <si>
    <t>Marcación</t>
  </si>
  <si>
    <t>Certificado Actual</t>
  </si>
  <si>
    <t>Valor Nominal (g)</t>
  </si>
  <si>
    <t>Error (mg) Año Anterior</t>
  </si>
  <si>
    <t>Error (mg) Año Actual</t>
  </si>
  <si>
    <t>Masa Convencional Anterior (g)</t>
  </si>
  <si>
    <t>Masa Convencional Actual (g)</t>
  </si>
  <si>
    <t>Deriva  (mg)</t>
  </si>
  <si>
    <t>Incertidumbre de Comprobación (mg)</t>
  </si>
  <si>
    <r>
      <t>Densidad del Aire kg/m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 xml:space="preserve"> Actual</t>
    </r>
  </si>
  <si>
    <t>Identificación Interna</t>
  </si>
  <si>
    <t>Calibrado por</t>
  </si>
  <si>
    <t>Factor de cobertura según certificado k=</t>
  </si>
  <si>
    <t>Carga para Excentricidad g</t>
  </si>
  <si>
    <t>Carga para Repetibilidad g</t>
  </si>
  <si>
    <t>Masa convencional actual (-) Masa convencional Anterior</t>
  </si>
  <si>
    <t>Juego Viajeras  
M-015</t>
  </si>
  <si>
    <t>M-015 RL.  5 g</t>
  </si>
  <si>
    <t>F1</t>
  </si>
  <si>
    <t>Rice Lake</t>
  </si>
  <si>
    <t>No porta</t>
  </si>
  <si>
    <t>M-015</t>
  </si>
  <si>
    <t>INM</t>
  </si>
  <si>
    <t>M-015 RL.  200 g</t>
  </si>
  <si>
    <t>M-015 RL.  1 kg</t>
  </si>
  <si>
    <t>M-015 RL.  2 kg</t>
  </si>
  <si>
    <t>M-015 RL.  5 kg</t>
  </si>
  <si>
    <t>M-015 RL.  6 kg</t>
  </si>
  <si>
    <t>M-015 RL.  8200 kg</t>
  </si>
  <si>
    <t>Juego  de pesas   
E2</t>
  </si>
  <si>
    <t xml:space="preserve">E2   1 g  </t>
  </si>
  <si>
    <t>E 2</t>
  </si>
  <si>
    <t>Sartorius</t>
  </si>
  <si>
    <t>AJS</t>
  </si>
  <si>
    <t>M-001</t>
  </si>
  <si>
    <t xml:space="preserve">INM </t>
  </si>
  <si>
    <t xml:space="preserve">E2   2 g  </t>
  </si>
  <si>
    <t>AKI</t>
  </si>
  <si>
    <t>E2   2 g AKJ</t>
  </si>
  <si>
    <t>AKJ</t>
  </si>
  <si>
    <t xml:space="preserve">E2   5 g  </t>
  </si>
  <si>
    <t>AGU</t>
  </si>
  <si>
    <t xml:space="preserve">E2   10 g  </t>
  </si>
  <si>
    <t>AH3</t>
  </si>
  <si>
    <t xml:space="preserve">E2   20 g  </t>
  </si>
  <si>
    <t>AJ1</t>
  </si>
  <si>
    <t>E2   20 g AKA</t>
  </si>
  <si>
    <t>AKA</t>
  </si>
  <si>
    <t xml:space="preserve">E2   50 g  </t>
  </si>
  <si>
    <t>AHL</t>
  </si>
  <si>
    <t xml:space="preserve">E2   100 g  </t>
  </si>
  <si>
    <t>AJG</t>
  </si>
  <si>
    <t xml:space="preserve">E2   200 g  </t>
  </si>
  <si>
    <t>ALZ</t>
  </si>
  <si>
    <t>E2   200 g ALW</t>
  </si>
  <si>
    <t>ALW</t>
  </si>
  <si>
    <t>N/A</t>
  </si>
  <si>
    <t xml:space="preserve">E2   500 g  </t>
  </si>
  <si>
    <t>ACT</t>
  </si>
  <si>
    <t xml:space="preserve">E2   1000 g  </t>
  </si>
  <si>
    <t>ABN</t>
  </si>
  <si>
    <t xml:space="preserve">E2   2000 g  </t>
  </si>
  <si>
    <t>AC1</t>
  </si>
  <si>
    <t>E2   2000 g ABY</t>
  </si>
  <si>
    <t>ABY</t>
  </si>
  <si>
    <t xml:space="preserve">E2   5000 g  </t>
  </si>
  <si>
    <t>AB9</t>
  </si>
  <si>
    <t>E2   10000 g</t>
  </si>
  <si>
    <t>AAM</t>
  </si>
  <si>
    <t>Juego  de pesas   
M-002</t>
  </si>
  <si>
    <t xml:space="preserve">F1   1 g  </t>
  </si>
  <si>
    <t>F 1</t>
  </si>
  <si>
    <t>Mettler Toledo</t>
  </si>
  <si>
    <t>M-002</t>
  </si>
  <si>
    <t xml:space="preserve">F1   2 g  </t>
  </si>
  <si>
    <t>2*</t>
  </si>
  <si>
    <t xml:space="preserve">F1   2 g punto </t>
  </si>
  <si>
    <t xml:space="preserve">F1   5 g  </t>
  </si>
  <si>
    <t xml:space="preserve">F1   10 g  </t>
  </si>
  <si>
    <t xml:space="preserve">F1   20 g  </t>
  </si>
  <si>
    <t>20*</t>
  </si>
  <si>
    <t xml:space="preserve">F1   20 g punto </t>
  </si>
  <si>
    <t xml:space="preserve">F1   50 g  </t>
  </si>
  <si>
    <t xml:space="preserve">F1   100 g  </t>
  </si>
  <si>
    <t xml:space="preserve">F1   200 g  </t>
  </si>
  <si>
    <t>200*</t>
  </si>
  <si>
    <t xml:space="preserve">F1   200 g punto 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</si>
  <si>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</si>
  <si>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</si>
  <si>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</si>
  <si>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</si>
  <si>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</si>
  <si>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>Pesa M-003</t>
  </si>
  <si>
    <t>F1   10000 g</t>
  </si>
  <si>
    <t>M-003</t>
  </si>
  <si>
    <t>Pesa M-004</t>
  </si>
  <si>
    <t>F1   20000 g</t>
  </si>
  <si>
    <t>M-004</t>
  </si>
  <si>
    <t>Juego viajeras
M-016</t>
  </si>
  <si>
    <t xml:space="preserve">M-016 RL.  1 g  </t>
  </si>
  <si>
    <t>No identificado</t>
  </si>
  <si>
    <t>M-016</t>
  </si>
  <si>
    <t xml:space="preserve">M-016 RL. 2 g  </t>
  </si>
  <si>
    <t xml:space="preserve">M-016 RL.  2 g punto </t>
  </si>
  <si>
    <t>punto</t>
  </si>
  <si>
    <t xml:space="preserve">M-016 RL.  5 g  </t>
  </si>
  <si>
    <t xml:space="preserve">M-016 RL.  10 g  </t>
  </si>
  <si>
    <t xml:space="preserve">M-016 RL.  20 g  </t>
  </si>
  <si>
    <t xml:space="preserve">M-016 RL. 20 g punto </t>
  </si>
  <si>
    <t xml:space="preserve">M-016 RL. 50 g  </t>
  </si>
  <si>
    <t xml:space="preserve">M-016 RL.  100 g  </t>
  </si>
  <si>
    <t xml:space="preserve">M-016 RL.  200 g  </t>
  </si>
  <si>
    <t xml:space="preserve">M-016 RL.  200 g punto </t>
  </si>
  <si>
    <t xml:space="preserve">M-016 RL.  500 g  </t>
  </si>
  <si>
    <t xml:space="preserve">M-016 RL.  1 000 g  </t>
  </si>
  <si>
    <t xml:space="preserve">M-016 RL.  2 000 g  </t>
  </si>
  <si>
    <t>2021-11-09</t>
  </si>
  <si>
    <t xml:space="preserve">M-016 RL.  2 000 g punto </t>
  </si>
  <si>
    <t xml:space="preserve">M-016 RL.  4 000 g </t>
  </si>
  <si>
    <t xml:space="preserve">M-016 RL.  5 000 g  </t>
  </si>
  <si>
    <t xml:space="preserve">M-016 RL.  6 000 g  </t>
  </si>
  <si>
    <t xml:space="preserve">M-016 RL.  8 200 g  </t>
  </si>
  <si>
    <t xml:space="preserve">Rice Lake
</t>
  </si>
  <si>
    <t>Pesa M-019</t>
  </si>
  <si>
    <t xml:space="preserve">E2 20 kg </t>
  </si>
  <si>
    <t>E2</t>
  </si>
  <si>
    <t>Kern</t>
  </si>
  <si>
    <t>G 1938658</t>
  </si>
  <si>
    <t>2021-09-02</t>
  </si>
  <si>
    <t>9</t>
  </si>
  <si>
    <t>2</t>
  </si>
  <si>
    <t>M-019</t>
  </si>
  <si>
    <t>Pesa M-020</t>
  </si>
  <si>
    <t>F1 20 kg</t>
  </si>
  <si>
    <t>G 1934093</t>
  </si>
  <si>
    <t>31</t>
  </si>
  <si>
    <t>39</t>
  </si>
  <si>
    <t>M-020</t>
  </si>
  <si>
    <t>Pesa M-021</t>
  </si>
  <si>
    <t>F1 20 kg A</t>
  </si>
  <si>
    <t>G 1934095</t>
  </si>
  <si>
    <t>20 A</t>
  </si>
  <si>
    <t>5410</t>
  </si>
  <si>
    <t>20000</t>
  </si>
  <si>
    <t>3</t>
  </si>
  <si>
    <t>5</t>
  </si>
  <si>
    <t>20000,003</t>
  </si>
  <si>
    <t>20000,005</t>
  </si>
  <si>
    <t>M-021</t>
  </si>
  <si>
    <t>Pesa M-022</t>
  </si>
  <si>
    <t>F1 20 kg B</t>
  </si>
  <si>
    <t>G 1934094</t>
  </si>
  <si>
    <t>20 B</t>
  </si>
  <si>
    <t>5411</t>
  </si>
  <si>
    <t>37</t>
  </si>
  <si>
    <t>40</t>
  </si>
  <si>
    <t>20000,037</t>
  </si>
  <si>
    <t>20000,04</t>
  </si>
  <si>
    <t>M-022</t>
  </si>
  <si>
    <t>Pesa M-023</t>
  </si>
  <si>
    <t>F1 10 kg C</t>
  </si>
  <si>
    <t>Accurate</t>
  </si>
  <si>
    <t>1913624</t>
  </si>
  <si>
    <t>10 C</t>
  </si>
  <si>
    <t>5264</t>
  </si>
  <si>
    <t>2021-06-03</t>
  </si>
  <si>
    <t>10000</t>
  </si>
  <si>
    <t>13</t>
  </si>
  <si>
    <t>-8</t>
  </si>
  <si>
    <t>10000,013</t>
  </si>
  <si>
    <t>9999,992</t>
  </si>
  <si>
    <t>M-023</t>
  </si>
  <si>
    <t>Pesa M-024</t>
  </si>
  <si>
    <t>F1 10 kg D</t>
  </si>
  <si>
    <t>1913626</t>
  </si>
  <si>
    <t>10 D</t>
  </si>
  <si>
    <t>5261</t>
  </si>
  <si>
    <t>2021-05-31</t>
  </si>
  <si>
    <t>8</t>
  </si>
  <si>
    <t>-9</t>
  </si>
  <si>
    <t>10000,008</t>
  </si>
  <si>
    <t>9999,991</t>
  </si>
  <si>
    <t>M-024</t>
  </si>
  <si>
    <t>Pesa M-025</t>
  </si>
  <si>
    <t>F1 5 kg E</t>
  </si>
  <si>
    <t>1913622</t>
  </si>
  <si>
    <t>5 E</t>
  </si>
  <si>
    <t>5266</t>
  </si>
  <si>
    <t>2021-06-08</t>
  </si>
  <si>
    <t>5000</t>
  </si>
  <si>
    <t>6,6</t>
  </si>
  <si>
    <t>5000,0066</t>
  </si>
  <si>
    <t>5000,003</t>
  </si>
  <si>
    <t>M-025</t>
  </si>
  <si>
    <t>Complemetos IPFNA 60 kg</t>
  </si>
  <si>
    <t>Juego  de pesas 
  M-018</t>
  </si>
  <si>
    <t>F1   1 g  Acc</t>
  </si>
  <si>
    <t>M-018</t>
  </si>
  <si>
    <t>F1   2 g  Acc</t>
  </si>
  <si>
    <t>F1   2 g punto Acc</t>
  </si>
  <si>
    <t>2 *</t>
  </si>
  <si>
    <t>F1   5 g  Acc</t>
  </si>
  <si>
    <t>F1   10 g  Acc</t>
  </si>
  <si>
    <t>F1   20 g  Acc</t>
  </si>
  <si>
    <t>F1   20 g punto Acc</t>
  </si>
  <si>
    <t>20 *</t>
  </si>
  <si>
    <t>F1   50 g  Acc</t>
  </si>
  <si>
    <t>F1   100 g  Acc</t>
  </si>
  <si>
    <t>F1   200 g  Acc</t>
  </si>
  <si>
    <t>F1   200 g punto Acc</t>
  </si>
  <si>
    <t>200 *</t>
  </si>
  <si>
    <t>F1   500 g  Acc</t>
  </si>
  <si>
    <t>F1   1 000 g  Acc</t>
  </si>
  <si>
    <t>F1   2 000 g  Acc</t>
  </si>
  <si>
    <t>F1   2 000 g punto Acc</t>
  </si>
  <si>
    <t>F1   5 000 g  Acc</t>
  </si>
  <si>
    <t>Complemetos para Cargas Max</t>
  </si>
  <si>
    <t>ALW - AKA</t>
  </si>
  <si>
    <t>ABN - ALW</t>
  </si>
  <si>
    <t>10 - C  -  200</t>
  </si>
  <si>
    <t>10 - C  -  2</t>
  </si>
  <si>
    <t>20 B - 2- 2</t>
  </si>
  <si>
    <t>20 B - 10 - C - 5</t>
  </si>
  <si>
    <t>Patrón Utilizado en la Comprobación - Termo higrómetros</t>
  </si>
  <si>
    <t>Unidades en   " °C , % hr  y hPa "  según corresponda</t>
  </si>
  <si>
    <t>Unidad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</si>
  <si>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</si>
  <si>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</si>
  <si>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</si>
  <si>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</si>
  <si>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</si>
  <si>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</si>
  <si>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Trazabilidad y numero</t>
  </si>
  <si>
    <t>Temperatura</t>
  </si>
  <si>
    <t xml:space="preserve">M-010 </t>
  </si>
  <si>
    <t>Lufft Opus 20</t>
  </si>
  <si>
    <t>0,26.0714.0802.024</t>
  </si>
  <si>
    <t>2021-06-25</t>
  </si>
  <si>
    <t>°C</t>
  </si>
  <si>
    <t>% hr</t>
  </si>
  <si>
    <t>hPa</t>
  </si>
  <si>
    <t>M-010</t>
  </si>
  <si>
    <t>Humedad</t>
  </si>
  <si>
    <t>2021-06-23</t>
  </si>
  <si>
    <t>Presión Atmosférica</t>
  </si>
  <si>
    <t>INM 5238</t>
  </si>
  <si>
    <t>INM 2148</t>
  </si>
  <si>
    <t xml:space="preserve">M-011 </t>
  </si>
  <si>
    <t>0,22.0714.0802.024</t>
  </si>
  <si>
    <t>INM 5286</t>
  </si>
  <si>
    <t>M-011</t>
  </si>
  <si>
    <t>INM 5287</t>
  </si>
  <si>
    <t>INM 5239</t>
  </si>
  <si>
    <t>INM 1997</t>
  </si>
  <si>
    <t>INM 2147</t>
  </si>
  <si>
    <t xml:space="preserve">M-012 </t>
  </si>
  <si>
    <t>2021-07-09</t>
  </si>
  <si>
    <t>INM 5303</t>
  </si>
  <si>
    <t xml:space="preserve">M-012  </t>
  </si>
  <si>
    <t>2021-07-07</t>
  </si>
  <si>
    <t>INM 5304</t>
  </si>
  <si>
    <t>INM 5240</t>
  </si>
  <si>
    <t xml:space="preserve">M-013 </t>
  </si>
  <si>
    <t>2021-05-12</t>
  </si>
  <si>
    <t>INM 4782</t>
  </si>
  <si>
    <t xml:space="preserve">M-013  </t>
  </si>
  <si>
    <t>2021-05-13</t>
  </si>
  <si>
    <t>INM 4783</t>
  </si>
  <si>
    <t>2021-10-22</t>
  </si>
  <si>
    <t>INM 5548</t>
  </si>
  <si>
    <t xml:space="preserve">V-002 </t>
  </si>
  <si>
    <t>0,23.0714.0802.024</t>
  </si>
  <si>
    <t>V-002</t>
  </si>
  <si>
    <t>INM 5243</t>
  </si>
  <si>
    <t>Metrólogos</t>
  </si>
  <si>
    <t>CMC IPFNA   d = 0,1 g  y 0,01 g</t>
  </si>
  <si>
    <t>Nombre del Metrólogo</t>
  </si>
  <si>
    <t>Intervalo de Medición (g) e incertidumbre expandida U</t>
  </si>
  <si>
    <t>A</t>
  </si>
  <si>
    <t>8 200</t>
  </si>
  <si>
    <t>LH</t>
  </si>
  <si>
    <t>Luis Henry Barreto Rojas</t>
  </si>
  <si>
    <t>Responsable de la Dirección Técnica</t>
  </si>
  <si>
    <t>Responsable de la Comprobación</t>
  </si>
  <si>
    <t>EA</t>
  </si>
  <si>
    <t>Elvis Aguirre Romero</t>
  </si>
  <si>
    <t xml:space="preserve">  Sustituto del Responsable de la Dirección Técnica</t>
  </si>
  <si>
    <t>SC</t>
  </si>
  <si>
    <t>Stivinson Córdoba Sánchez</t>
  </si>
  <si>
    <t>°C m</t>
  </si>
  <si>
    <t>°C b</t>
  </si>
  <si>
    <t>% hr m</t>
  </si>
  <si>
    <t>% hr b</t>
  </si>
  <si>
    <t>hPa m</t>
  </si>
  <si>
    <t>hPa b</t>
  </si>
  <si>
    <t>Datos para la grafica en el certificado</t>
  </si>
  <si>
    <t>IPFNA</t>
  </si>
  <si>
    <t xml:space="preserve">Carga </t>
  </si>
  <si>
    <t>Valor Nominal</t>
  </si>
  <si>
    <t>8 200 g</t>
  </si>
  <si>
    <t>Carga Baja</t>
  </si>
  <si>
    <t>5 g ≤ m ≤   5 000 g</t>
  </si>
  <si>
    <t>Carga Media</t>
  </si>
  <si>
    <t>5 000 g ≤ m ≤ 
8 200 g</t>
  </si>
  <si>
    <t>12 000 g</t>
  </si>
  <si>
    <t>5 000 g ≤ m ≤ 
12 000 g</t>
  </si>
  <si>
    <t>Masa  Nominal (g)</t>
  </si>
  <si>
    <t>"+"(EMP) en Uso</t>
  </si>
  <si>
    <t>"-"(EMP) en Uso</t>
  </si>
  <si>
    <t>Fecha de ingreso</t>
  </si>
  <si>
    <t>Código interno</t>
  </si>
  <si>
    <t>Lugar de Comprobación</t>
  </si>
  <si>
    <t>Comprobación N°</t>
  </si>
  <si>
    <t>DATOS DE LAS PESAS PATRÓN</t>
  </si>
  <si>
    <t>Juego de Pesas</t>
  </si>
  <si>
    <t>Carga mín (g)</t>
  </si>
  <si>
    <t>Certificado N°</t>
  </si>
  <si>
    <t>Carga máx. (g)</t>
  </si>
  <si>
    <t xml:space="preserve">División de Escala (d)                  en (g)  </t>
  </si>
  <si>
    <t xml:space="preserve">Escalón de Verificación     en  (g)  </t>
  </si>
  <si>
    <t xml:space="preserve"> DATOS DE LOS PATRONES PARA LAS PRUEBAS</t>
  </si>
  <si>
    <t>Carga para excentricidad    (g)</t>
  </si>
  <si>
    <t>Cargas para Error de Indicación (Exactitud)                                         según certificado</t>
  </si>
  <si>
    <t>Valor nominal Cargas de    prueba (g) mN</t>
  </si>
  <si>
    <r>
      <t>Masa  Convencional (g)  m</t>
    </r>
    <r>
      <rPr>
        <vertAlign val="subscript"/>
        <sz val="11"/>
        <rFont val="Arial"/>
        <family val="2"/>
      </rPr>
      <t>c</t>
    </r>
  </si>
  <si>
    <t>Incertidumbre (mg)</t>
  </si>
  <si>
    <t>Marcación de la pesa</t>
  </si>
  <si>
    <t>Cargas para Repetibilidad (g)</t>
  </si>
  <si>
    <t>Masa para completar la carga Máx. (g)</t>
  </si>
  <si>
    <r>
      <t>m</t>
    </r>
    <r>
      <rPr>
        <vertAlign val="subscript"/>
        <sz val="11"/>
        <color theme="1"/>
        <rFont val="Arial"/>
        <family val="2"/>
      </rPr>
      <t>N (g)</t>
    </r>
  </si>
  <si>
    <r>
      <t>m</t>
    </r>
    <r>
      <rPr>
        <vertAlign val="subscript"/>
        <sz val="11"/>
        <color theme="1"/>
        <rFont val="Arial"/>
        <family val="2"/>
      </rPr>
      <t>c</t>
    </r>
  </si>
  <si>
    <t>incertidumbre  certificado (mg)</t>
  </si>
  <si>
    <t>DATOS TERMOHIGRÓMETRO - BARÓMETRO</t>
  </si>
  <si>
    <t>Serie</t>
  </si>
  <si>
    <t>Fecha Certificado</t>
  </si>
  <si>
    <t>Incertidumbre   U=(k=2)</t>
  </si>
  <si>
    <t>Temperatura (°C)</t>
  </si>
  <si>
    <t>Humedad relativa (% hr)</t>
  </si>
  <si>
    <t>Presión (hPa)</t>
  </si>
  <si>
    <t>CONDICIONES AMBIENTALES INICIALES</t>
  </si>
  <si>
    <t>según certificado pesas patrón</t>
  </si>
  <si>
    <t>Hora inicial</t>
  </si>
  <si>
    <t>k =</t>
  </si>
  <si>
    <t>PRUEBA DE EXCENTRICIDAD</t>
  </si>
  <si>
    <t>Carga</t>
  </si>
  <si>
    <t>(g)</t>
  </si>
  <si>
    <t xml:space="preserve"> (mg)</t>
  </si>
  <si>
    <t>Posición</t>
  </si>
  <si>
    <t>Indicación (g)</t>
  </si>
  <si>
    <t>Diferencia (g)</t>
  </si>
  <si>
    <t>Valor ABS de diferencia</t>
  </si>
  <si>
    <t>PRUEBA DE REPETIBILIDAD</t>
  </si>
  <si>
    <t xml:space="preserve">Observaciones </t>
  </si>
  <si>
    <t>Indicaciones</t>
  </si>
  <si>
    <t>n</t>
  </si>
  <si>
    <t>Cargas (g)</t>
  </si>
  <si>
    <t>promedios (g)</t>
  </si>
  <si>
    <t>s (g)</t>
  </si>
  <si>
    <t>s (mg)</t>
  </si>
  <si>
    <t>s máxima (mg)</t>
  </si>
  <si>
    <t>PRUEBA DE ERROR DE INDICACIÓN (EXACTITUD)</t>
  </si>
  <si>
    <t>ANTES DE AJUSTE</t>
  </si>
  <si>
    <t>DESPUÉS DE AJUSTE</t>
  </si>
  <si>
    <t>Masa  Convencional (g)</t>
  </si>
  <si>
    <t>Indicación 1(g)</t>
  </si>
  <si>
    <t>Error de</t>
  </si>
  <si>
    <t>Indicación 2(g)</t>
  </si>
  <si>
    <t>Metrólogo</t>
  </si>
  <si>
    <t>CONDICIONES AMBIENTALES FINALES</t>
  </si>
  <si>
    <t>Hora final</t>
  </si>
  <si>
    <t>Promedio Condiciones Ambientales Corregidas  Iniciales</t>
  </si>
  <si>
    <t>Promedio Condiciones Ambientales Corregidas Finales</t>
  </si>
  <si>
    <t xml:space="preserve">                       PRESUPUESTO DE INCERTIDUMBRE</t>
  </si>
  <si>
    <t>Cargas de prueba (g)</t>
  </si>
  <si>
    <t>Magnitud</t>
  </si>
  <si>
    <t>INCERTIDUMBRE POR INDICACION (mg)</t>
  </si>
  <si>
    <t>Distribución</t>
  </si>
  <si>
    <r>
      <t>Grados efectivos de libertad Ʋ</t>
    </r>
    <r>
      <rPr>
        <b/>
        <sz val="14"/>
        <color rgb="FF1F4E78"/>
        <rFont val="Arial"/>
        <family val="2"/>
      </rPr>
      <t>= n-3</t>
    </r>
  </si>
  <si>
    <t>Aporte a la Incertidumbre %</t>
  </si>
  <si>
    <t>Excentricidad</t>
  </si>
  <si>
    <t>Rectangular</t>
  </si>
  <si>
    <t>Repetibilidad</t>
  </si>
  <si>
    <t>Normal</t>
  </si>
  <si>
    <r>
      <t xml:space="preserve">Prueba de error de indicación </t>
    </r>
    <r>
      <rPr>
        <sz val="10"/>
        <color theme="1"/>
        <rFont val="Arial"/>
        <family val="2"/>
      </rPr>
      <t>(redondeo de la indicación sin carga</t>
    </r>
    <r>
      <rPr>
        <b/>
        <sz val="10"/>
        <color theme="1"/>
        <rFont val="Arial"/>
        <family val="2"/>
      </rPr>
      <t>)</t>
    </r>
  </si>
  <si>
    <r>
      <rPr>
        <b/>
        <sz val="9"/>
        <color theme="1"/>
        <rFont val="Arial"/>
        <family val="2"/>
      </rPr>
      <t xml:space="preserve">Prueba de error de indicación </t>
    </r>
    <r>
      <rPr>
        <sz val="9"/>
        <color theme="1"/>
        <rFont val="Arial"/>
        <family val="2"/>
      </rPr>
      <t>(redondeo de la indicación con carga)</t>
    </r>
  </si>
  <si>
    <t>INCERTIDUMBRE ESTÁNDAR MASA DE REFERENCIA   (mg)</t>
  </si>
  <si>
    <t>Incertidumbre por pesas patrón</t>
  </si>
  <si>
    <t>incertidumbre  por empuje</t>
  </si>
  <si>
    <t>incertidumbre por  deriva</t>
  </si>
  <si>
    <t>INCERTIDUMBRE ESTÁNDAR DEL ERROR   (mg)</t>
  </si>
  <si>
    <t>GRADOS EFECTIVOS DE LIBERTAD</t>
  </si>
  <si>
    <t>GRADOS EFECTIVOS DE LIBERTAD POR INDICACION</t>
  </si>
  <si>
    <t>Error de indicación   Después de Ajuste (mg)</t>
  </si>
  <si>
    <t>Error de indicación Después de Ajuste(g)</t>
  </si>
  <si>
    <t xml:space="preserve">Incertidumbre Expandida (mg) </t>
  </si>
  <si>
    <t>Incertidumbre Expandida (g)</t>
  </si>
  <si>
    <t xml:space="preserve">Incertidumbre Expandida Relativa % </t>
  </si>
  <si>
    <t>Grados efectivos de libertad de Excentricidad</t>
  </si>
  <si>
    <t>±U (g)     CMC</t>
  </si>
  <si>
    <t>Grados efectivos de libertad de Repetibilidad</t>
  </si>
  <si>
    <t>Grados efectivos de libertad de Resolución</t>
  </si>
  <si>
    <t>GRADOS EFECTIVOS DE LIBERTAD POR MASA DE REFERENCIA
Welch-Sattertthwaite</t>
  </si>
  <si>
    <t>Grados efectivos de libertad de Pesas</t>
  </si>
  <si>
    <t>Grados efectivos de libertad de Empuje</t>
  </si>
  <si>
    <t>Grados efectivos de libertad de Deriva</t>
  </si>
  <si>
    <t>Condicional incertidumbre dominante</t>
  </si>
  <si>
    <t>GRADOS EFECTIVOS DE LIBERTAD DEL ERROR</t>
  </si>
  <si>
    <t>Incertidumbre dominante</t>
  </si>
  <si>
    <t>SI</t>
  </si>
  <si>
    <t>≤ 0,3</t>
  </si>
  <si>
    <t>Max</t>
  </si>
  <si>
    <r>
      <rPr>
        <b/>
        <i/>
        <sz val="12"/>
        <rFont val="Tahoma"/>
        <family val="2"/>
      </rPr>
      <t>≥</t>
    </r>
    <r>
      <rPr>
        <b/>
        <i/>
        <sz val="12"/>
        <rFont val="Arial"/>
        <family val="2"/>
      </rPr>
      <t xml:space="preserve"> 0,3</t>
    </r>
  </si>
  <si>
    <t>FACTOR DE COBERTURA CALCULADO</t>
  </si>
  <si>
    <t xml:space="preserve">Nivel de Confianza                                                                </t>
  </si>
  <si>
    <t>APROXIMACIÓN POR LÍNEA RECTA QUE CRUZA POR CERO PARA EL ERROR   (mg)</t>
  </si>
  <si>
    <t>I</t>
  </si>
  <si>
    <t>E</t>
  </si>
  <si>
    <t xml:space="preserve">u </t>
  </si>
  <si>
    <t>p</t>
  </si>
  <si>
    <t>pIE</t>
  </si>
  <si>
    <r>
      <t>pI</t>
    </r>
    <r>
      <rPr>
        <b/>
        <i/>
        <vertAlign val="superscript"/>
        <sz val="11"/>
        <color theme="1"/>
        <rFont val="Arial"/>
        <family val="2"/>
      </rPr>
      <t>2</t>
    </r>
  </si>
  <si>
    <r>
      <t>P*(a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sz val="11"/>
        <color theme="1"/>
        <rFont val="Arial"/>
        <family val="2"/>
      </rPr>
      <t>* l - E)</t>
    </r>
    <r>
      <rPr>
        <b/>
        <i/>
        <vertAlign val="superscript"/>
        <sz val="11"/>
        <color theme="1"/>
        <rFont val="Arial"/>
        <family val="2"/>
      </rPr>
      <t>2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</si>
  <si>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(Eappr)</t>
    </r>
  </si>
  <si>
    <r>
      <t>u (E</t>
    </r>
    <r>
      <rPr>
        <b/>
        <i/>
        <vertAlign val="subscript"/>
        <sz val="11"/>
        <color theme="1"/>
        <rFont val="Arial"/>
        <family val="2"/>
      </rPr>
      <t>appr</t>
    </r>
    <r>
      <rPr>
        <b/>
        <i/>
        <sz val="11"/>
        <color theme="1"/>
        <rFont val="Arial"/>
        <family val="2"/>
      </rPr>
      <t>)</t>
    </r>
  </si>
  <si>
    <t>u(Eappr) a REPORTAR</t>
  </si>
  <si>
    <t>U(Eappr) Reportar</t>
  </si>
  <si>
    <t>RELATIVA</t>
  </si>
  <si>
    <t>Σ</t>
  </si>
  <si>
    <r>
      <t>a</t>
    </r>
    <r>
      <rPr>
        <b/>
        <i/>
        <vertAlign val="subscript"/>
        <sz val="11"/>
        <color theme="0"/>
        <rFont val="Arial"/>
        <family val="2"/>
      </rPr>
      <t xml:space="preserve">1    </t>
    </r>
  </si>
  <si>
    <r>
      <t>n</t>
    </r>
    <r>
      <rPr>
        <b/>
        <vertAlign val="subscript"/>
        <sz val="14"/>
        <color theme="0"/>
        <rFont val="Arial"/>
        <family val="2"/>
      </rPr>
      <t>a</t>
    </r>
  </si>
  <si>
    <t>N=</t>
  </si>
  <si>
    <r>
      <t>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=</t>
    </r>
  </si>
  <si>
    <r>
      <t>n</t>
    </r>
    <r>
      <rPr>
        <b/>
        <vertAlign val="subscript"/>
        <sz val="14"/>
        <color theme="0"/>
        <rFont val="Arial"/>
        <family val="2"/>
      </rPr>
      <t>par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</si>
  <si>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sz val="11"/>
        <color theme="1"/>
        <rFont val="Arial"/>
        <family val="2"/>
      </rPr>
      <t>) =</t>
    </r>
  </si>
  <si>
    <r>
      <t>Min chi</t>
    </r>
    <r>
      <rPr>
        <b/>
        <vertAlign val="superscript"/>
        <sz val="14"/>
        <color theme="0"/>
        <rFont val="Arial"/>
        <family val="2"/>
      </rPr>
      <t>2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</si>
  <si>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(R(dys)) =</t>
    </r>
  </si>
  <si>
    <t>Beta (β)</t>
  </si>
  <si>
    <t>≤</t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</si>
  <si>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(R( ecc))=</t>
    </r>
  </si>
  <si>
    <t xml:space="preserve">G de libertad </t>
  </si>
  <si>
    <t xml:space="preserve">K mayor </t>
  </si>
  <si>
    <t>m=</t>
  </si>
  <si>
    <t xml:space="preserve">  la  pendiente</t>
  </si>
  <si>
    <t>x</t>
  </si>
  <si>
    <t>b=</t>
  </si>
  <si>
    <t>punto  de  corte</t>
  </si>
  <si>
    <t>y</t>
  </si>
  <si>
    <t>Carga (g)</t>
  </si>
  <si>
    <t>u (mg)</t>
  </si>
  <si>
    <t xml:space="preserve">Regresión </t>
  </si>
  <si>
    <t>n=</t>
  </si>
  <si>
    <t>Xi</t>
  </si>
  <si>
    <t>Yi</t>
  </si>
  <si>
    <t>Xi*Yi</t>
  </si>
  <si>
    <r>
      <t>Xi</t>
    </r>
    <r>
      <rPr>
        <b/>
        <vertAlign val="superscript"/>
        <sz val="11"/>
        <color theme="0" tint="-0.14999847407452621"/>
        <rFont val="Arial"/>
        <family val="2"/>
      </rPr>
      <t>2</t>
    </r>
  </si>
  <si>
    <t>Media Xi</t>
  </si>
  <si>
    <t>Media Yi</t>
  </si>
  <si>
    <t>m</t>
  </si>
  <si>
    <t>b</t>
  </si>
  <si>
    <t>(Sumatorias)</t>
  </si>
  <si>
    <r>
      <t>u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(Eappr)</t>
    </r>
  </si>
  <si>
    <t xml:space="preserve">  + </t>
  </si>
  <si>
    <r>
      <t>R</t>
    </r>
    <r>
      <rPr>
        <b/>
        <vertAlign val="superscript"/>
        <sz val="11"/>
        <rFont val="Arial"/>
        <family val="2"/>
      </rPr>
      <t>2</t>
    </r>
  </si>
  <si>
    <r>
      <t>U(E</t>
    </r>
    <r>
      <rPr>
        <b/>
        <i/>
        <vertAlign val="subscript"/>
        <sz val="11"/>
        <color theme="1"/>
        <rFont val="Arial"/>
        <family val="2"/>
      </rPr>
      <t>appr</t>
    </r>
    <r>
      <rPr>
        <b/>
        <i/>
        <sz val="11"/>
        <color theme="1"/>
        <rFont val="Arial"/>
        <family val="2"/>
      </rPr>
      <t>)</t>
    </r>
  </si>
  <si>
    <t>R</t>
  </si>
  <si>
    <t>VALIDACIÓN   -   RESULTADOS</t>
  </si>
  <si>
    <t>Adimensional</t>
  </si>
  <si>
    <r>
      <t>APROXIMACIÓN POR LÍNEA RECTA QUE CRUZA EN CERO   E</t>
    </r>
    <r>
      <rPr>
        <b/>
        <vertAlign val="subscript"/>
        <sz val="10"/>
        <color theme="1"/>
        <rFont val="Arial"/>
        <family val="2"/>
      </rPr>
      <t>appr</t>
    </r>
  </si>
  <si>
    <t>E (R)  (mg) =</t>
  </si>
  <si>
    <t>R (mg)</t>
  </si>
  <si>
    <t>INCERTIDUMBRE EXPANDIDA DE LOS ERRORES APROXIMADOS  U(Eappr)</t>
  </si>
  <si>
    <t>U (E)  (mg) =</t>
  </si>
  <si>
    <t>E (R)  (g) =</t>
  </si>
  <si>
    <t>R (g)</t>
  </si>
  <si>
    <t>U (E)  (g) =</t>
  </si>
  <si>
    <t xml:space="preserve">ANÁLISIS DE LOS RESULTADOS OBTENIDOS </t>
  </si>
  <si>
    <t xml:space="preserve">DESVIACIÓN ESTÁNDAR HISTÓRICO SEGÚN CALIBRACIÓNES Y COMPROBACIONES </t>
  </si>
  <si>
    <t xml:space="preserve"> D2 PRESICIÓN DEL IPFNA ANEXO D (NTC 1848) CONTROL ESTADISTICO PRUEBA (F)</t>
  </si>
  <si>
    <t xml:space="preserve">Fecha Año -Mes-Dia </t>
  </si>
  <si>
    <t>Desviación estándar  en calibración y comprobación en carga alta (mg)</t>
  </si>
  <si>
    <t>N° Comprobación Alfanumérica</t>
  </si>
  <si>
    <t>N° Número de Certificado</t>
  </si>
  <si>
    <t>N° De Repetibilidades</t>
  </si>
  <si>
    <r>
      <t>S</t>
    </r>
    <r>
      <rPr>
        <b/>
        <i/>
        <vertAlign val="subscript"/>
        <sz val="20"/>
        <color theme="0"/>
        <rFont val="Arial"/>
        <family val="2"/>
      </rPr>
      <t>p</t>
    </r>
  </si>
  <si>
    <t>Grados de Libertad de S nuevo</t>
  </si>
  <si>
    <t>Grados de Libertad de Sp</t>
  </si>
  <si>
    <t>m = Acomulaciones de desviaciones estándar</t>
  </si>
  <si>
    <r>
      <t>S</t>
    </r>
    <r>
      <rPr>
        <b/>
        <i/>
        <vertAlign val="superscript"/>
        <sz val="14"/>
        <color theme="1"/>
        <rFont val="Arial"/>
        <family val="2"/>
      </rPr>
      <t>2</t>
    </r>
  </si>
  <si>
    <t>v=n-1</t>
  </si>
  <si>
    <t>m*(n-1)</t>
  </si>
  <si>
    <t>m-1</t>
  </si>
  <si>
    <t>F Calculado</t>
  </si>
  <si>
    <t>F critico (tabla)</t>
  </si>
  <si>
    <t>Análisis de resultado</t>
  </si>
  <si>
    <r>
      <t>Valores críticos para la distribución F para la prueba a un extremo tal que</t>
    </r>
    <r>
      <rPr>
        <b/>
        <u/>
        <sz val="18"/>
        <color theme="0"/>
        <rFont val="Arial"/>
        <family val="2"/>
      </rPr>
      <t xml:space="preserve"> </t>
    </r>
    <r>
      <rPr>
        <b/>
        <i/>
        <sz val="18"/>
        <color theme="0"/>
        <rFont val="Arial"/>
        <family val="2"/>
      </rPr>
      <t xml:space="preserve">S </t>
    </r>
    <r>
      <rPr>
        <b/>
        <sz val="18"/>
        <color theme="0"/>
        <rFont val="Arial"/>
        <family val="2"/>
      </rPr>
      <t xml:space="preserve">nueva  (v,GL)  no exceda la </t>
    </r>
    <r>
      <rPr>
        <b/>
        <i/>
        <sz val="18"/>
        <color theme="0"/>
        <rFont val="Arial"/>
        <family val="2"/>
      </rPr>
      <t>Sp</t>
    </r>
    <r>
      <rPr>
        <b/>
        <sz val="18"/>
        <color theme="0"/>
        <rFont val="Arial"/>
        <family val="2"/>
      </rPr>
      <t xml:space="preserve"> (m.v.GL) a un nivel de 0,05</t>
    </r>
  </si>
  <si>
    <t>V</t>
  </si>
  <si>
    <t>∞</t>
  </si>
  <si>
    <r>
      <rPr>
        <b/>
        <sz val="10"/>
        <color theme="1"/>
        <rFont val="Tahoma"/>
        <family val="2"/>
      </rPr>
      <t>±</t>
    </r>
    <r>
      <rPr>
        <b/>
        <sz val="10"/>
        <color theme="1"/>
        <rFont val="Arial"/>
        <family val="2"/>
      </rPr>
      <t>(EMP) en Uso</t>
    </r>
  </si>
  <si>
    <t>Nominal</t>
  </si>
  <si>
    <t xml:space="preserve">Error en masa convencional </t>
  </si>
  <si>
    <t xml:space="preserve">Incertidumbre </t>
  </si>
  <si>
    <t xml:space="preserve"> ±EMP </t>
  </si>
  <si>
    <t>Probabilidad de conformidad</t>
  </si>
  <si>
    <t>Probabilidad de NO conformidad</t>
  </si>
  <si>
    <t>|E|</t>
  </si>
  <si>
    <t>z</t>
  </si>
  <si>
    <t>Cumple</t>
  </si>
  <si>
    <t>Fecha de calibración</t>
  </si>
  <si>
    <t>Grados Efectivos de Libertad por Repetibilidad del Método</t>
  </si>
  <si>
    <t>Repetibilidad del método</t>
  </si>
  <si>
    <t>SIWSDCP-1-35-HCE</t>
  </si>
  <si>
    <t>INM 5932</t>
  </si>
  <si>
    <t>INM 5933</t>
  </si>
  <si>
    <t>INM 5936</t>
  </si>
  <si>
    <t>INM 5937</t>
  </si>
  <si>
    <t>10 200 g</t>
  </si>
  <si>
    <t>DATOS DEL IPFNA A COMPROBAR</t>
  </si>
  <si>
    <t>El valor de F calculado es menor
que el valor critico por lo tanto la desviación estándar obtenida en la calibración es aceptable, y
el proceso de calibración puede considerase bajo control.</t>
  </si>
  <si>
    <t>Fecha de Calibración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</si>
</sst>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6">
    <numFmt numFmtId="164" formatCode="0.000"/>
    <numFmt numFmtId="165" formatCode="0.00000"/>
    <numFmt numFmtId="166" formatCode="0.000000"/>
    <numFmt numFmtId="167" formatCode="0.0000000"/>
    <numFmt numFmtId="168" formatCode="yyyy\-mm\-dd;@"/>
    <numFmt numFmtId="169" formatCode="0.0000"/>
    <numFmt numFmtId="170" formatCode="0.0E+00"/>
    <numFmt numFmtId="171" formatCode="0.0"/>
    <numFmt numFmtId="172" formatCode="0.00000000"/>
    <numFmt numFmtId="173" formatCode="0.000E+00"/>
    <numFmt numFmtId="174" formatCode="0_ &quot;g&quot;"/>
    <numFmt numFmtId="175" formatCode="0_ &quot;mN&quot;"/>
    <numFmt numFmtId="176" formatCode="#,##0.0"/>
    <numFmt numFmtId="177" formatCode="#,##0.000"/>
    <numFmt numFmtId="178" formatCode="0.000_ &quot;g&quot;"/>
    <numFmt numFmtId="179" formatCode="0\ 000.0000"/>
    <numFmt numFmtId="180" formatCode="0\ 000"/>
    <numFmt numFmtId="181" formatCode="0\ 000.00000"/>
    <numFmt numFmtId="182" formatCode="0\ 000.00"/>
    <numFmt numFmtId="183" formatCode="\ 0\ 000\ 000.00"/>
    <numFmt numFmtId="184" formatCode="#\ ##0"/>
    <numFmt numFmtId="185" formatCode="#\ ##0\ .0000"/>
    <numFmt numFmtId="186" formatCode="#.\ ##0;\-#"/>
    <numFmt numFmtId="187" formatCode="0.0000E+00"/>
    <numFmt numFmtId="188" formatCode="####\ ##0\ .0000"/>
    <numFmt numFmtId="189" formatCode="0.000%"/>
  </numFmts>
  <fonts count="8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vertAlign val="subscript"/>
      <sz val="1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i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b/>
      <i/>
      <vertAlign val="subscript"/>
      <sz val="11"/>
      <color theme="1"/>
      <name val="Arial"/>
      <family val="2"/>
    </font>
    <font>
      <sz val="22"/>
      <color theme="0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b/>
      <i/>
      <sz val="12"/>
      <name val="Tahoma"/>
      <family val="2"/>
    </font>
    <font>
      <b/>
      <i/>
      <sz val="12"/>
      <color theme="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2"/>
      <color theme="0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b/>
      <i/>
      <sz val="14"/>
      <color theme="0"/>
      <name val="Arial"/>
      <family val="2"/>
    </font>
    <font>
      <b/>
      <vertAlign val="superscript"/>
      <sz val="14"/>
      <color theme="0"/>
      <name val="Arial"/>
      <family val="2"/>
    </font>
    <font>
      <b/>
      <vertAlign val="subscript"/>
      <sz val="10"/>
      <color theme="1"/>
      <name val="Arial"/>
      <family val="2"/>
    </font>
    <font>
      <b/>
      <vertAlign val="subscript"/>
      <sz val="14"/>
      <color theme="0"/>
      <name val="Arial"/>
      <family val="2"/>
    </font>
    <font>
      <sz val="9"/>
      <color indexed="81"/>
      <name val="Tahoma"/>
      <family val="2"/>
    </font>
    <font>
      <b/>
      <sz val="16"/>
      <color theme="0" tint="-4.9989318521683403E-2"/>
      <name val="Arial"/>
      <family val="2"/>
    </font>
    <font>
      <b/>
      <sz val="20"/>
      <color theme="0"/>
      <name val="Arial"/>
      <family val="2"/>
    </font>
    <font>
      <b/>
      <sz val="9"/>
      <color indexed="81"/>
      <name val="Tahoma"/>
      <family val="2"/>
    </font>
    <font>
      <sz val="11"/>
      <color theme="0" tint="-0.14999847407452621"/>
      <name val="Arial"/>
      <family val="2"/>
    </font>
    <font>
      <b/>
      <sz val="11"/>
      <color theme="0" tint="-0.14999847407452621"/>
      <name val="Arial"/>
      <family val="2"/>
    </font>
    <font>
      <b/>
      <vertAlign val="superscript"/>
      <sz val="11"/>
      <color theme="0" tint="-0.14999847407452621"/>
      <name val="Arial"/>
      <family val="2"/>
    </font>
    <font>
      <b/>
      <sz val="12"/>
      <color theme="0" tint="-0.14999847407452621"/>
      <name val="Arial"/>
      <family val="2"/>
    </font>
    <font>
      <b/>
      <sz val="10"/>
      <color theme="1"/>
      <name val="Tahoma"/>
      <family val="2"/>
    </font>
    <font>
      <sz val="8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rgb="FF1F4E78"/>
      <name val="Arial"/>
      <family val="2"/>
    </font>
    <font>
      <sz val="14"/>
      <name val="Arial"/>
      <family val="2"/>
    </font>
    <font>
      <b/>
      <sz val="18"/>
      <color theme="0"/>
      <name val="Arial"/>
      <family val="2"/>
    </font>
    <font>
      <b/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28"/>
      <name val="Arial"/>
      <family val="2"/>
    </font>
    <font>
      <sz val="20"/>
      <color theme="0"/>
      <name val="Arial"/>
      <family val="2"/>
    </font>
    <font>
      <b/>
      <i/>
      <sz val="20"/>
      <color theme="0"/>
      <name val="Arial"/>
      <family val="2"/>
    </font>
    <font>
      <b/>
      <i/>
      <vertAlign val="subscript"/>
      <sz val="20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4"/>
      <color theme="1"/>
      <name val="Arial"/>
      <family val="2"/>
    </font>
    <font>
      <b/>
      <i/>
      <vertAlign val="superscript"/>
      <sz val="14"/>
      <color theme="1"/>
      <name val="Arial"/>
      <family val="2"/>
    </font>
    <font>
      <b/>
      <i/>
      <sz val="20"/>
      <color theme="1"/>
      <name val="Bookman Old Style"/>
      <family val="1"/>
    </font>
    <font>
      <b/>
      <i/>
      <sz val="12"/>
      <color theme="1"/>
      <name val="Bookman Old Style"/>
      <family val="1"/>
    </font>
    <font>
      <sz val="11"/>
      <color rgb="FFF4B084"/>
      <name val="Arial"/>
      <family val="2"/>
    </font>
    <font>
      <i/>
      <sz val="16"/>
      <color theme="1"/>
      <name val="Arial"/>
      <family val="2"/>
    </font>
    <font>
      <b/>
      <vertAlign val="superscript"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i/>
      <sz val="18"/>
      <color theme="0"/>
      <name val="Arial"/>
      <family val="2"/>
    </font>
    <font>
      <b/>
      <u/>
      <sz val="18"/>
      <color theme="0"/>
      <name val="Arial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Arial"/>
      <family val="2"/>
    </font>
    <font>
      <b/>
      <sz val="16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8DB4E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darkGray">
        <bgColor rgb="FF0070C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6FD0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EBF7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5" borderId="0" applyNumberFormat="0" applyBorder="0" applyAlignment="0" applyProtection="0"/>
    <xf numFmtId="2" fontId="6" fillId="13" borderId="5" applyFont="0" applyBorder="0" applyAlignment="0">
      <alignment horizontal="center" vertical="center" wrapText="1"/>
      <protection locked="0"/>
    </xf>
    <xf numFmtId="0" fontId="7" fillId="14" borderId="1" applyBorder="0">
      <alignment horizontal="center" vertical="center"/>
    </xf>
  </cellStyleXfs>
  <cellXfs count="1260">
    <xf numFmtId="0" fontId="0" fillId="0" borderId="0" xfId="0"/>
    <xf numFmtId="2" fontId="8" fillId="0" borderId="0" xfId="0" applyNumberFormat="1" applyFont="1" applyProtection="1"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2" fontId="8" fillId="2" borderId="0" xfId="0" applyNumberFormat="1" applyFont="1" applyFill="1" applyAlignment="1" applyProtection="1">
      <alignment vertical="center" wrapText="1"/>
      <protection hidden="1"/>
    </xf>
    <xf numFmtId="0" fontId="8" fillId="0" borderId="0" xfId="0" applyFont="1" applyProtection="1">
      <protection hidden="1"/>
    </xf>
    <xf numFmtId="2" fontId="8" fillId="2" borderId="0" xfId="0" applyNumberFormat="1" applyFont="1" applyFill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10" fillId="0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2" applyNumberFormat="1" applyFont="1" applyFill="1" applyBorder="1" applyAlignment="1" applyProtection="1">
      <alignment vertical="center"/>
      <protection hidden="1"/>
    </xf>
    <xf numFmtId="2" fontId="10" fillId="0" borderId="0" xfId="2" applyNumberFormat="1" applyFont="1" applyFill="1" applyBorder="1" applyAlignment="1" applyProtection="1">
      <alignment vertical="center" wrapText="1"/>
      <protection hidden="1"/>
    </xf>
    <xf numFmtId="2" fontId="8" fillId="2" borderId="0" xfId="0" applyNumberFormat="1" applyFont="1" applyFill="1" applyAlignment="1" applyProtection="1">
      <alignment vertical="center"/>
      <protection hidden="1"/>
    </xf>
    <xf numFmtId="2" fontId="10" fillId="0" borderId="0" xfId="2" applyNumberFormat="1" applyFont="1" applyFill="1" applyBorder="1" applyAlignment="1" applyProtection="1">
      <protection hidden="1"/>
    </xf>
    <xf numFmtId="2" fontId="8" fillId="0" borderId="0" xfId="0" applyNumberFormat="1" applyFont="1" applyAlignment="1" applyProtection="1">
      <alignment vertical="center"/>
      <protection hidden="1"/>
    </xf>
    <xf numFmtId="2" fontId="10" fillId="0" borderId="0" xfId="2" applyNumberFormat="1" applyFont="1" applyFill="1" applyBorder="1" applyAlignment="1" applyProtection="1">
      <alignment horizontal="center"/>
      <protection hidden="1"/>
    </xf>
    <xf numFmtId="2" fontId="10" fillId="0" borderId="0" xfId="2" applyNumberFormat="1" applyFont="1" applyFill="1" applyBorder="1" applyProtection="1">
      <protection hidden="1"/>
    </xf>
    <xf numFmtId="2" fontId="9" fillId="0" borderId="0" xfId="2" applyNumberFormat="1" applyFont="1" applyFill="1" applyBorder="1" applyAlignment="1" applyProtection="1">
      <protection hidden="1"/>
    </xf>
    <xf numFmtId="2" fontId="9" fillId="0" borderId="0" xfId="2" applyNumberFormat="1" applyFont="1" applyFill="1" applyBorder="1" applyAlignment="1" applyProtection="1">
      <alignment vertical="center"/>
      <protection hidden="1"/>
    </xf>
    <xf numFmtId="175" fontId="9" fillId="0" borderId="0" xfId="2" applyNumberFormat="1" applyFont="1" applyFill="1" applyBorder="1" applyAlignment="1" applyProtection="1">
      <protection hidden="1"/>
    </xf>
    <xf numFmtId="2" fontId="14" fillId="0" borderId="0" xfId="0" applyNumberFormat="1" applyFont="1" applyAlignment="1" applyProtection="1">
      <alignment vertical="center" wrapText="1"/>
      <protection hidden="1"/>
    </xf>
    <xf numFmtId="2" fontId="8" fillId="6" borderId="34" xfId="0" applyNumberFormat="1" applyFont="1" applyFill="1" applyBorder="1" applyAlignment="1" applyProtection="1">
      <alignment horizontal="center" vertical="center"/>
      <protection hidden="1"/>
    </xf>
    <xf numFmtId="171" fontId="14" fillId="9" borderId="1" xfId="0" applyNumberFormat="1" applyFont="1" applyFill="1" applyBorder="1" applyAlignment="1" applyProtection="1">
      <alignment horizontal="center" vertical="center"/>
      <protection hidden="1"/>
    </xf>
    <xf numFmtId="171" fontId="8" fillId="2" borderId="0" xfId="0" applyNumberFormat="1" applyFont="1" applyFill="1" applyProtection="1">
      <protection hidden="1"/>
    </xf>
    <xf numFmtId="2" fontId="11" fillId="0" borderId="0" xfId="0" applyNumberFormat="1" applyFont="1" applyAlignment="1" applyProtection="1">
      <alignment vertical="center"/>
      <protection hidden="1"/>
    </xf>
    <xf numFmtId="166" fontId="8" fillId="9" borderId="1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169" fontId="8" fillId="0" borderId="0" xfId="0" applyNumberFormat="1" applyFont="1" applyProtection="1">
      <protection hidden="1"/>
    </xf>
    <xf numFmtId="169" fontId="10" fillId="9" borderId="1" xfId="0" applyNumberFormat="1" applyFont="1" applyFill="1" applyBorder="1" applyAlignment="1" applyProtection="1">
      <alignment horizontal="center" vertical="center"/>
      <protection hidden="1"/>
    </xf>
    <xf numFmtId="167" fontId="10" fillId="9" borderId="1" xfId="0" applyNumberFormat="1" applyFont="1" applyFill="1" applyBorder="1" applyAlignment="1" applyProtection="1">
      <alignment horizontal="center" vertical="center"/>
      <protection hidden="1"/>
    </xf>
    <xf numFmtId="2" fontId="14" fillId="0" borderId="0" xfId="0" applyNumberFormat="1" applyFont="1" applyAlignment="1" applyProtection="1">
      <alignment horizontal="center" vertical="center" wrapText="1"/>
      <protection hidden="1"/>
    </xf>
    <xf numFmtId="1" fontId="8" fillId="9" borderId="1" xfId="0" applyNumberFormat="1" applyFont="1" applyFill="1" applyBorder="1" applyAlignment="1" applyProtection="1">
      <alignment horizontal="center" vertical="center"/>
      <protection hidden="1"/>
    </xf>
    <xf numFmtId="172" fontId="8" fillId="2" borderId="0" xfId="0" applyNumberFormat="1" applyFont="1" applyFill="1" applyProtection="1"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2" borderId="0" xfId="0" applyNumberFormat="1" applyFont="1" applyFill="1" applyAlignment="1" applyProtection="1">
      <alignment horizontal="left" vertical="center"/>
      <protection hidden="1"/>
    </xf>
    <xf numFmtId="14" fontId="6" fillId="9" borderId="46" xfId="0" applyNumberFormat="1" applyFont="1" applyFill="1" applyBorder="1" applyAlignment="1" applyProtection="1">
      <alignment horizontal="center" vertical="center" wrapText="1"/>
      <protection hidden="1"/>
    </xf>
    <xf numFmtId="2" fontId="16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16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5" fillId="6" borderId="10" xfId="0" applyNumberFormat="1" applyFont="1" applyFill="1" applyBorder="1" applyAlignment="1" applyProtection="1">
      <alignment horizontal="center" vertical="center" wrapText="1"/>
      <protection hidden="1"/>
    </xf>
    <xf numFmtId="168" fontId="6" fillId="9" borderId="46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0" xfId="0" applyNumberFormat="1" applyFont="1" applyFill="1" applyAlignment="1" applyProtection="1">
      <alignment horizontal="center" vertical="center"/>
      <protection hidden="1"/>
    </xf>
    <xf numFmtId="2" fontId="14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34" xfId="0" applyNumberFormat="1" applyFont="1" applyFill="1" applyBorder="1" applyAlignment="1" applyProtection="1">
      <alignment vertical="center" wrapText="1"/>
      <protection hidden="1"/>
    </xf>
    <xf numFmtId="2" fontId="15" fillId="2" borderId="0" xfId="0" applyNumberFormat="1" applyFont="1" applyFill="1" applyProtection="1">
      <protection hidden="1"/>
    </xf>
    <xf numFmtId="171" fontId="14" fillId="9" borderId="34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Protection="1"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29" fillId="0" borderId="7" xfId="0" applyFont="1" applyBorder="1" applyProtection="1">
      <protection hidden="1"/>
    </xf>
    <xf numFmtId="0" fontId="29" fillId="0" borderId="8" xfId="0" applyFont="1" applyBorder="1" applyProtection="1">
      <protection hidden="1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alignment horizont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8" fillId="0" borderId="39" xfId="0" applyFont="1" applyBorder="1" applyAlignment="1" applyProtection="1">
      <alignment horizontal="center" vertical="center"/>
      <protection hidden="1"/>
    </xf>
    <xf numFmtId="0" fontId="28" fillId="0" borderId="7" xfId="0" applyFont="1" applyBorder="1" applyAlignment="1" applyProtection="1">
      <alignment horizontal="center" vertical="center"/>
      <protection hidden="1"/>
    </xf>
    <xf numFmtId="0" fontId="29" fillId="0" borderId="12" xfId="0" applyFont="1" applyBorder="1" applyProtection="1">
      <protection hidden="1"/>
    </xf>
    <xf numFmtId="1" fontId="8" fillId="13" borderId="34" xfId="3" applyNumberFormat="1" applyFont="1" applyBorder="1" applyAlignment="1" applyProtection="1">
      <alignment horizontal="center" vertical="center"/>
      <protection locked="0" hidden="1"/>
    </xf>
    <xf numFmtId="1" fontId="8" fillId="13" borderId="16" xfId="3" applyNumberFormat="1" applyFont="1" applyBorder="1" applyAlignment="1" applyProtection="1">
      <alignment horizontal="center" vertical="center" wrapText="1"/>
      <protection locked="0" hidden="1"/>
    </xf>
    <xf numFmtId="171" fontId="8" fillId="7" borderId="15" xfId="0" applyNumberFormat="1" applyFont="1" applyFill="1" applyBorder="1" applyAlignment="1" applyProtection="1">
      <alignment horizontal="center" vertical="center"/>
      <protection locked="0" hidden="1"/>
    </xf>
    <xf numFmtId="171" fontId="8" fillId="4" borderId="15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34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0" borderId="4" xfId="0" applyFont="1" applyBorder="1" applyProtection="1">
      <protection hidden="1"/>
    </xf>
    <xf numFmtId="1" fontId="8" fillId="9" borderId="4" xfId="0" applyNumberFormat="1" applyFont="1" applyFill="1" applyBorder="1" applyAlignment="1" applyProtection="1">
      <alignment horizontal="center" vertical="center"/>
      <protection hidden="1"/>
    </xf>
    <xf numFmtId="1" fontId="8" fillId="9" borderId="37" xfId="0" applyNumberFormat="1" applyFont="1" applyFill="1" applyBorder="1" applyAlignment="1" applyProtection="1">
      <alignment horizontal="center" vertical="center"/>
      <protection hidden="1"/>
    </xf>
    <xf numFmtId="1" fontId="8" fillId="9" borderId="39" xfId="0" applyNumberFormat="1" applyFont="1" applyFill="1" applyBorder="1" applyAlignment="1" applyProtection="1">
      <alignment horizontal="center" vertical="center"/>
      <protection hidden="1"/>
    </xf>
    <xf numFmtId="1" fontId="8" fillId="9" borderId="40" xfId="0" applyNumberFormat="1" applyFont="1" applyFill="1" applyBorder="1" applyAlignment="1" applyProtection="1">
      <alignment horizontal="center" vertical="center"/>
      <protection hidden="1"/>
    </xf>
    <xf numFmtId="1" fontId="8" fillId="9" borderId="7" xfId="0" applyNumberFormat="1" applyFont="1" applyFill="1" applyBorder="1" applyAlignment="1" applyProtection="1">
      <alignment horizontal="center" vertical="center"/>
      <protection hidden="1"/>
    </xf>
    <xf numFmtId="1" fontId="8" fillId="9" borderId="12" xfId="0" applyNumberFormat="1" applyFont="1" applyFill="1" applyBorder="1" applyAlignment="1" applyProtection="1">
      <alignment horizontal="center" vertical="center"/>
      <protection hidden="1"/>
    </xf>
    <xf numFmtId="2" fontId="14" fillId="6" borderId="14" xfId="0" applyNumberFormat="1" applyFont="1" applyFill="1" applyBorder="1" applyAlignment="1" applyProtection="1">
      <alignment vertical="center" wrapText="1"/>
      <protection hidden="1"/>
    </xf>
    <xf numFmtId="2" fontId="8" fillId="6" borderId="15" xfId="0" applyNumberFormat="1" applyFont="1" applyFill="1" applyBorder="1" applyProtection="1">
      <protection hidden="1"/>
    </xf>
    <xf numFmtId="167" fontId="10" fillId="9" borderId="4" xfId="0" applyNumberFormat="1" applyFont="1" applyFill="1" applyBorder="1" applyAlignment="1" applyProtection="1">
      <alignment horizontal="center" vertical="center"/>
      <protection hidden="1"/>
    </xf>
    <xf numFmtId="167" fontId="10" fillId="9" borderId="5" xfId="0" applyNumberFormat="1" applyFont="1" applyFill="1" applyBorder="1" applyAlignment="1" applyProtection="1">
      <alignment horizontal="center" vertical="center"/>
      <protection hidden="1"/>
    </xf>
    <xf numFmtId="167" fontId="10" fillId="9" borderId="39" xfId="0" applyNumberFormat="1" applyFont="1" applyFill="1" applyBorder="1" applyAlignment="1" applyProtection="1">
      <alignment horizontal="center" vertical="center"/>
      <protection hidden="1"/>
    </xf>
    <xf numFmtId="169" fontId="10" fillId="9" borderId="39" xfId="0" applyNumberFormat="1" applyFont="1" applyFill="1" applyBorder="1" applyAlignment="1" applyProtection="1">
      <alignment horizontal="center" vertical="center"/>
      <protection hidden="1"/>
    </xf>
    <xf numFmtId="166" fontId="8" fillId="9" borderId="8" xfId="0" applyNumberFormat="1" applyFont="1" applyFill="1" applyBorder="1" applyAlignment="1" applyProtection="1">
      <alignment horizontal="center" vertical="center"/>
      <protection hidden="1"/>
    </xf>
    <xf numFmtId="164" fontId="8" fillId="9" borderId="40" xfId="0" applyNumberFormat="1" applyFont="1" applyFill="1" applyBorder="1" applyAlignment="1" applyProtection="1">
      <alignment horizontal="center" vertical="center"/>
      <protection hidden="1"/>
    </xf>
    <xf numFmtId="164" fontId="8" fillId="9" borderId="12" xfId="0" applyNumberFormat="1" applyFont="1" applyFill="1" applyBorder="1" applyAlignment="1" applyProtection="1">
      <alignment horizontal="center" vertical="center"/>
      <protection hidden="1"/>
    </xf>
    <xf numFmtId="171" fontId="8" fillId="9" borderId="8" xfId="0" applyNumberFormat="1" applyFont="1" applyFill="1" applyBorder="1" applyAlignment="1" applyProtection="1">
      <alignment horizontal="center" vertical="center"/>
      <protection hidden="1"/>
    </xf>
    <xf numFmtId="171" fontId="8" fillId="9" borderId="12" xfId="0" applyNumberFormat="1" applyFont="1" applyFill="1" applyBorder="1" applyAlignment="1" applyProtection="1">
      <alignment horizontal="center" vertical="center"/>
      <protection hidden="1"/>
    </xf>
    <xf numFmtId="1" fontId="14" fillId="6" borderId="5" xfId="0" applyNumberFormat="1" applyFont="1" applyFill="1" applyBorder="1" applyAlignment="1" applyProtection="1">
      <alignment horizontal="center" vertical="center" wrapText="1"/>
      <protection hidden="1"/>
    </xf>
    <xf numFmtId="1" fontId="14" fillId="6" borderId="37" xfId="0" applyNumberFormat="1" applyFont="1" applyFill="1" applyBorder="1" applyAlignment="1" applyProtection="1">
      <alignment horizontal="center" vertical="center" wrapText="1"/>
      <protection hidden="1"/>
    </xf>
    <xf numFmtId="171" fontId="14" fillId="9" borderId="40" xfId="0" applyNumberFormat="1" applyFont="1" applyFill="1" applyBorder="1" applyAlignment="1" applyProtection="1">
      <alignment horizontal="center" vertical="center"/>
      <protection hidden="1"/>
    </xf>
    <xf numFmtId="171" fontId="14" fillId="9" borderId="8" xfId="0" applyNumberFormat="1" applyFont="1" applyFill="1" applyBorder="1" applyAlignment="1" applyProtection="1">
      <alignment horizontal="center" vertical="center"/>
      <protection hidden="1"/>
    </xf>
    <xf numFmtId="171" fontId="14" fillId="9" borderId="12" xfId="0" applyNumberFormat="1" applyFont="1" applyFill="1" applyBorder="1" applyAlignment="1" applyProtection="1">
      <alignment horizontal="center" vertical="center"/>
      <protection hidden="1"/>
    </xf>
    <xf numFmtId="0" fontId="5" fillId="15" borderId="4" xfId="0" applyFont="1" applyFill="1" applyBorder="1" applyAlignment="1" applyProtection="1">
      <alignment horizontal="left" vertical="center" wrapText="1"/>
      <protection hidden="1"/>
    </xf>
    <xf numFmtId="0" fontId="8" fillId="9" borderId="5" xfId="0" applyFont="1" applyFill="1" applyBorder="1" applyAlignment="1" applyProtection="1">
      <alignment horizontal="center" vertical="center"/>
      <protection hidden="1"/>
    </xf>
    <xf numFmtId="0" fontId="5" fillId="15" borderId="5" xfId="0" applyFont="1" applyFill="1" applyBorder="1" applyAlignment="1" applyProtection="1">
      <alignment horizontal="left" vertical="center" wrapText="1"/>
      <protection hidden="1"/>
    </xf>
    <xf numFmtId="1" fontId="8" fillId="9" borderId="5" xfId="0" applyNumberFormat="1" applyFont="1" applyFill="1" applyBorder="1" applyAlignment="1" applyProtection="1">
      <alignment horizontal="center" vertical="center"/>
      <protection hidden="1"/>
    </xf>
    <xf numFmtId="0" fontId="33" fillId="15" borderId="5" xfId="0" applyFont="1" applyFill="1" applyBorder="1" applyAlignment="1" applyProtection="1">
      <alignment horizontal="left" vertical="center" wrapText="1"/>
      <protection hidden="1"/>
    </xf>
    <xf numFmtId="1" fontId="8" fillId="9" borderId="37" xfId="0" applyNumberFormat="1" applyFont="1" applyFill="1" applyBorder="1" applyAlignment="1" applyProtection="1">
      <alignment horizontal="center" vertical="center" wrapText="1"/>
      <protection hidden="1"/>
    </xf>
    <xf numFmtId="0" fontId="33" fillId="15" borderId="8" xfId="0" applyFont="1" applyFill="1" applyBorder="1" applyAlignment="1" applyProtection="1">
      <alignment horizontal="center" vertical="center" wrapText="1"/>
      <protection hidden="1"/>
    </xf>
    <xf numFmtId="0" fontId="8" fillId="9" borderId="8" xfId="0" applyFont="1" applyFill="1" applyBorder="1" applyAlignment="1" applyProtection="1">
      <alignment horizontal="center" vertical="center"/>
      <protection hidden="1"/>
    </xf>
    <xf numFmtId="0" fontId="5" fillId="15" borderId="8" xfId="0" applyFont="1" applyFill="1" applyBorder="1" applyAlignment="1" applyProtection="1">
      <alignment horizontal="left" vertical="center" wrapText="1"/>
      <protection hidden="1"/>
    </xf>
    <xf numFmtId="0" fontId="8" fillId="9" borderId="12" xfId="0" applyFont="1" applyFill="1" applyBorder="1" applyAlignment="1" applyProtection="1">
      <alignment horizontal="center" vertical="center"/>
      <protection hidden="1"/>
    </xf>
    <xf numFmtId="2" fontId="9" fillId="6" borderId="30" xfId="2" applyNumberFormat="1" applyFont="1" applyFill="1" applyBorder="1" applyAlignment="1" applyProtection="1">
      <protection hidden="1"/>
    </xf>
    <xf numFmtId="0" fontId="8" fillId="9" borderId="40" xfId="0" applyFont="1" applyFill="1" applyBorder="1" applyAlignment="1" applyProtection="1">
      <alignment horizontal="center" vertical="center"/>
      <protection hidden="1"/>
    </xf>
    <xf numFmtId="1" fontId="8" fillId="13" borderId="54" xfId="3" applyNumberFormat="1" applyFont="1" applyBorder="1" applyAlignment="1" applyProtection="1">
      <alignment horizontal="center" vertical="center"/>
      <protection locked="0" hidden="1"/>
    </xf>
    <xf numFmtId="2" fontId="8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10" xfId="0" applyNumberFormat="1" applyFont="1" applyFill="1" applyBorder="1" applyAlignment="1" applyProtection="1">
      <alignment horizontal="left" vertical="center"/>
      <protection hidden="1"/>
    </xf>
    <xf numFmtId="2" fontId="8" fillId="6" borderId="11" xfId="0" applyNumberFormat="1" applyFont="1" applyFill="1" applyBorder="1" applyAlignment="1" applyProtection="1">
      <alignment horizontal="left" vertical="center"/>
      <protection hidden="1"/>
    </xf>
    <xf numFmtId="2" fontId="8" fillId="6" borderId="70" xfId="0" applyNumberFormat="1" applyFont="1" applyFill="1" applyBorder="1" applyAlignment="1" applyProtection="1">
      <alignment horizontal="center" vertical="center" wrapText="1"/>
      <protection hidden="1"/>
    </xf>
    <xf numFmtId="169" fontId="8" fillId="6" borderId="67" xfId="0" applyNumberFormat="1" applyFont="1" applyFill="1" applyBorder="1" applyAlignment="1" applyProtection="1">
      <alignment horizontal="center" vertical="center"/>
      <protection hidden="1"/>
    </xf>
    <xf numFmtId="169" fontId="8" fillId="6" borderId="68" xfId="0" applyNumberFormat="1" applyFont="1" applyFill="1" applyBorder="1" applyAlignment="1" applyProtection="1">
      <alignment horizontal="center" vertical="center"/>
      <protection hidden="1"/>
    </xf>
    <xf numFmtId="2" fontId="14" fillId="6" borderId="15" xfId="0" applyNumberFormat="1" applyFont="1" applyFill="1" applyBorder="1" applyAlignment="1" applyProtection="1">
      <alignment vertical="center" wrapText="1"/>
      <protection hidden="1"/>
    </xf>
    <xf numFmtId="165" fontId="8" fillId="9" borderId="5" xfId="0" applyNumberFormat="1" applyFont="1" applyFill="1" applyBorder="1" applyAlignment="1" applyProtection="1">
      <alignment horizontal="center" vertical="center"/>
      <protection hidden="1"/>
    </xf>
    <xf numFmtId="2" fontId="17" fillId="6" borderId="7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8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5" xfId="2" applyFont="1" applyFill="1" applyBorder="1" applyAlignment="1" applyProtection="1">
      <alignment horizontal="center" vertical="center"/>
      <protection hidden="1"/>
    </xf>
    <xf numFmtId="0" fontId="35" fillId="6" borderId="8" xfId="2" applyFont="1" applyFill="1" applyBorder="1" applyAlignment="1" applyProtection="1">
      <alignment horizontal="center" vertical="center"/>
      <protection hidden="1"/>
    </xf>
    <xf numFmtId="0" fontId="28" fillId="0" borderId="37" xfId="0" applyFont="1" applyBorder="1" applyAlignment="1" applyProtection="1">
      <alignment vertical="center"/>
      <protection hidden="1"/>
    </xf>
    <xf numFmtId="2" fontId="37" fillId="6" borderId="34" xfId="0" applyNumberFormat="1" applyFont="1" applyFill="1" applyBorder="1" applyAlignment="1" applyProtection="1">
      <alignment horizontal="center" vertical="center"/>
      <protection hidden="1"/>
    </xf>
    <xf numFmtId="171" fontId="8" fillId="9" borderId="1" xfId="0" applyNumberFormat="1" applyFont="1" applyFill="1" applyBorder="1" applyAlignment="1" applyProtection="1">
      <alignment horizontal="center" vertical="center"/>
      <protection hidden="1"/>
    </xf>
    <xf numFmtId="171" fontId="10" fillId="6" borderId="9" xfId="0" applyNumberFormat="1" applyFont="1" applyFill="1" applyBorder="1" applyAlignment="1" applyProtection="1">
      <alignment horizontal="center" vertical="center"/>
      <protection hidden="1"/>
    </xf>
    <xf numFmtId="171" fontId="10" fillId="6" borderId="10" xfId="0" applyNumberFormat="1" applyFont="1" applyFill="1" applyBorder="1" applyAlignment="1" applyProtection="1">
      <alignment horizontal="center" vertical="center"/>
      <protection hidden="1"/>
    </xf>
    <xf numFmtId="171" fontId="10" fillId="6" borderId="11" xfId="0" applyNumberFormat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Protection="1">
      <protection hidden="1"/>
    </xf>
    <xf numFmtId="2" fontId="14" fillId="6" borderId="14" xfId="0" applyNumberFormat="1" applyFont="1" applyFill="1" applyBorder="1" applyAlignment="1" applyProtection="1">
      <alignment horizontal="center" vertical="center"/>
      <protection hidden="1"/>
    </xf>
    <xf numFmtId="171" fontId="14" fillId="9" borderId="38" xfId="0" applyNumberFormat="1" applyFont="1" applyFill="1" applyBorder="1" applyAlignment="1" applyProtection="1">
      <alignment horizontal="center" vertical="center"/>
      <protection hidden="1"/>
    </xf>
    <xf numFmtId="2" fontId="14" fillId="9" borderId="12" xfId="0" applyNumberFormat="1" applyFont="1" applyFill="1" applyBorder="1" applyAlignment="1" applyProtection="1">
      <alignment horizontal="center" vertical="center"/>
      <protection hidden="1"/>
    </xf>
    <xf numFmtId="2" fontId="14" fillId="6" borderId="63" xfId="0" applyNumberFormat="1" applyFont="1" applyFill="1" applyBorder="1" applyAlignment="1" applyProtection="1">
      <alignment horizontal="center" vertical="center"/>
      <protection hidden="1"/>
    </xf>
    <xf numFmtId="2" fontId="14" fillId="6" borderId="65" xfId="0" applyNumberFormat="1" applyFont="1" applyFill="1" applyBorder="1" applyAlignment="1" applyProtection="1">
      <alignment horizontal="center" vertical="center"/>
      <protection hidden="1"/>
    </xf>
    <xf numFmtId="2" fontId="14" fillId="6" borderId="63" xfId="0" applyNumberFormat="1" applyFont="1" applyFill="1" applyBorder="1" applyAlignment="1" applyProtection="1">
      <alignment horizontal="centerContinuous" vertical="center"/>
      <protection hidden="1"/>
    </xf>
    <xf numFmtId="2" fontId="14" fillId="6" borderId="6" xfId="0" applyNumberFormat="1" applyFont="1" applyFill="1" applyBorder="1" applyAlignment="1" applyProtection="1">
      <alignment horizontal="centerContinuous" vertical="center"/>
      <protection hidden="1"/>
    </xf>
    <xf numFmtId="0" fontId="28" fillId="6" borderId="39" xfId="0" applyFont="1" applyFill="1" applyBorder="1" applyAlignment="1" applyProtection="1">
      <alignment horizontal="center" vertical="center"/>
      <protection hidden="1"/>
    </xf>
    <xf numFmtId="2" fontId="9" fillId="6" borderId="8" xfId="0" applyNumberFormat="1" applyFont="1" applyFill="1" applyBorder="1" applyAlignment="1" applyProtection="1">
      <alignment horizontal="center" vertical="center"/>
      <protection hidden="1"/>
    </xf>
    <xf numFmtId="2" fontId="14" fillId="6" borderId="47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0" xfId="0" applyNumberFormat="1" applyFont="1" applyFill="1" applyAlignment="1" applyProtection="1">
      <alignment vertical="center"/>
      <protection locked="0" hidden="1"/>
    </xf>
    <xf numFmtId="181" fontId="8" fillId="9" borderId="1" xfId="0" applyNumberFormat="1" applyFont="1" applyFill="1" applyBorder="1" applyAlignment="1" applyProtection="1">
      <alignment horizontal="center" vertical="center"/>
      <protection hidden="1"/>
    </xf>
    <xf numFmtId="2" fontId="9" fillId="6" borderId="9" xfId="0" applyNumberFormat="1" applyFont="1" applyFill="1" applyBorder="1" applyAlignment="1" applyProtection="1">
      <alignment horizontal="center" vertical="center"/>
      <protection hidden="1"/>
    </xf>
    <xf numFmtId="0" fontId="29" fillId="6" borderId="39" xfId="0" applyFont="1" applyFill="1" applyBorder="1" applyAlignment="1" applyProtection="1">
      <alignment horizontal="center" vertical="center"/>
      <protection hidden="1"/>
    </xf>
    <xf numFmtId="183" fontId="8" fillId="9" borderId="1" xfId="0" applyNumberFormat="1" applyFont="1" applyFill="1" applyBorder="1" applyAlignment="1" applyProtection="1">
      <alignment horizontal="center" vertical="center"/>
      <protection hidden="1"/>
    </xf>
    <xf numFmtId="166" fontId="8" fillId="6" borderId="66" xfId="0" applyNumberFormat="1" applyFont="1" applyFill="1" applyBorder="1" applyAlignment="1" applyProtection="1">
      <alignment horizontal="center" vertical="center"/>
      <protection hidden="1"/>
    </xf>
    <xf numFmtId="166" fontId="8" fillId="9" borderId="5" xfId="0" applyNumberFormat="1" applyFont="1" applyFill="1" applyBorder="1" applyAlignment="1" applyProtection="1">
      <alignment horizontal="center" vertical="center"/>
      <protection hidden="1"/>
    </xf>
    <xf numFmtId="164" fontId="8" fillId="9" borderId="37" xfId="0" applyNumberFormat="1" applyFont="1" applyFill="1" applyBorder="1" applyAlignment="1" applyProtection="1">
      <alignment horizontal="center" vertical="center"/>
      <protection hidden="1"/>
    </xf>
    <xf numFmtId="182" fontId="8" fillId="9" borderId="5" xfId="0" applyNumberFormat="1" applyFont="1" applyFill="1" applyBorder="1" applyAlignment="1" applyProtection="1">
      <alignment horizontal="center" vertical="center"/>
      <protection hidden="1"/>
    </xf>
    <xf numFmtId="181" fontId="8" fillId="9" borderId="8" xfId="0" applyNumberFormat="1" applyFont="1" applyFill="1" applyBorder="1" applyAlignment="1" applyProtection="1">
      <alignment horizontal="center" vertical="center"/>
      <protection hidden="1"/>
    </xf>
    <xf numFmtId="183" fontId="8" fillId="9" borderId="8" xfId="0" applyNumberFormat="1" applyFont="1" applyFill="1" applyBorder="1" applyAlignment="1" applyProtection="1">
      <alignment horizontal="center" vertical="center"/>
      <protection hidden="1"/>
    </xf>
    <xf numFmtId="1" fontId="8" fillId="6" borderId="56" xfId="0" applyNumberFormat="1" applyFont="1" applyFill="1" applyBorder="1" applyAlignment="1" applyProtection="1">
      <alignment horizontal="center" vertical="center"/>
      <protection hidden="1"/>
    </xf>
    <xf numFmtId="1" fontId="8" fillId="6" borderId="49" xfId="0" applyNumberFormat="1" applyFont="1" applyFill="1" applyBorder="1" applyAlignment="1" applyProtection="1">
      <alignment horizontal="center" vertical="center"/>
      <protection hidden="1"/>
    </xf>
    <xf numFmtId="1" fontId="8" fillId="6" borderId="57" xfId="0" applyNumberFormat="1" applyFont="1" applyFill="1" applyBorder="1" applyAlignment="1" applyProtection="1">
      <alignment horizontal="center" vertical="center"/>
      <protection hidden="1"/>
    </xf>
    <xf numFmtId="2" fontId="14" fillId="6" borderId="33" xfId="0" applyNumberFormat="1" applyFont="1" applyFill="1" applyBorder="1" applyAlignment="1" applyProtection="1">
      <alignment horizontal="center" wrapText="1"/>
      <protection hidden="1"/>
    </xf>
    <xf numFmtId="2" fontId="14" fillId="6" borderId="9" xfId="0" applyNumberFormat="1" applyFont="1" applyFill="1" applyBorder="1" applyAlignment="1" applyProtection="1">
      <alignment horizontal="center" vertical="center"/>
      <protection hidden="1"/>
    </xf>
    <xf numFmtId="2" fontId="14" fillId="6" borderId="10" xfId="0" applyNumberFormat="1" applyFont="1" applyFill="1" applyBorder="1" applyAlignment="1" applyProtection="1">
      <alignment horizontal="center" vertical="center"/>
      <protection hidden="1"/>
    </xf>
    <xf numFmtId="1" fontId="14" fillId="6" borderId="10" xfId="0" applyNumberFormat="1" applyFont="1" applyFill="1" applyBorder="1" applyAlignment="1" applyProtection="1">
      <alignment horizontal="center" vertical="center"/>
      <protection hidden="1"/>
    </xf>
    <xf numFmtId="1" fontId="14" fillId="6" borderId="11" xfId="0" applyNumberFormat="1" applyFont="1" applyFill="1" applyBorder="1" applyAlignment="1" applyProtection="1">
      <alignment horizontal="center" vertical="center"/>
      <protection hidden="1"/>
    </xf>
    <xf numFmtId="2" fontId="14" fillId="6" borderId="10" xfId="0" applyNumberFormat="1" applyFont="1" applyFill="1" applyBorder="1" applyAlignment="1" applyProtection="1">
      <alignment horizontal="center" vertical="center" wrapText="1"/>
      <protection hidden="1"/>
    </xf>
    <xf numFmtId="171" fontId="8" fillId="4" borderId="10" xfId="0" applyNumberFormat="1" applyFont="1" applyFill="1" applyBorder="1" applyAlignment="1" applyProtection="1">
      <alignment horizontal="center" vertical="center"/>
      <protection locked="0" hidden="1"/>
    </xf>
    <xf numFmtId="171" fontId="8" fillId="4" borderId="11" xfId="0" applyNumberFormat="1" applyFont="1" applyFill="1" applyBorder="1" applyAlignment="1" applyProtection="1">
      <alignment horizontal="center" vertical="center" wrapText="1"/>
      <protection locked="0" hidden="1"/>
    </xf>
    <xf numFmtId="2" fontId="8" fillId="6" borderId="34" xfId="0" applyNumberFormat="1" applyFont="1" applyFill="1" applyBorder="1" applyAlignment="1" applyProtection="1">
      <alignment horizontal="center" vertical="center" wrapText="1"/>
      <protection hidden="1"/>
    </xf>
    <xf numFmtId="0" fontId="39" fillId="6" borderId="4" xfId="0" applyFont="1" applyFill="1" applyBorder="1" applyAlignment="1" applyProtection="1">
      <alignment horizontal="center" vertical="center" wrapText="1"/>
      <protection hidden="1"/>
    </xf>
    <xf numFmtId="0" fontId="40" fillId="6" borderId="5" xfId="0" applyFont="1" applyFill="1" applyBorder="1" applyAlignment="1" applyProtection="1">
      <alignment horizontal="center" vertical="center" wrapText="1"/>
      <protection hidden="1"/>
    </xf>
    <xf numFmtId="0" fontId="39" fillId="6" borderId="7" xfId="0" applyFont="1" applyFill="1" applyBorder="1" applyAlignment="1" applyProtection="1">
      <alignment horizontal="center" vertical="center" wrapText="1"/>
      <protection hidden="1"/>
    </xf>
    <xf numFmtId="0" fontId="39" fillId="6" borderId="8" xfId="0" applyFont="1" applyFill="1" applyBorder="1" applyAlignment="1" applyProtection="1">
      <alignment horizontal="center" vertical="center" wrapText="1"/>
      <protection hidden="1"/>
    </xf>
    <xf numFmtId="0" fontId="23" fillId="6" borderId="34" xfId="0" applyFont="1" applyFill="1" applyBorder="1" applyAlignment="1" applyProtection="1">
      <alignment horizontal="center" vertical="center" wrapText="1"/>
      <protection hidden="1"/>
    </xf>
    <xf numFmtId="185" fontId="8" fillId="9" borderId="1" xfId="0" applyNumberFormat="1" applyFont="1" applyFill="1" applyBorder="1" applyAlignment="1" applyProtection="1">
      <alignment horizontal="center" vertical="center"/>
      <protection hidden="1"/>
    </xf>
    <xf numFmtId="2" fontId="8" fillId="6" borderId="66" xfId="0" applyNumberFormat="1" applyFont="1" applyFill="1" applyBorder="1" applyAlignment="1" applyProtection="1">
      <alignment horizontal="center" vertical="center"/>
      <protection hidden="1"/>
    </xf>
    <xf numFmtId="1" fontId="8" fillId="6" borderId="67" xfId="0" applyNumberFormat="1" applyFont="1" applyFill="1" applyBorder="1" applyAlignment="1" applyProtection="1">
      <alignment horizontal="center" vertical="center" wrapText="1"/>
      <protection hidden="1"/>
    </xf>
    <xf numFmtId="1" fontId="8" fillId="6" borderId="68" xfId="0" applyNumberFormat="1" applyFont="1" applyFill="1" applyBorder="1" applyAlignment="1" applyProtection="1">
      <alignment horizontal="center" vertical="center" wrapText="1"/>
      <protection hidden="1"/>
    </xf>
    <xf numFmtId="171" fontId="8" fillId="9" borderId="40" xfId="0" applyNumberFormat="1" applyFont="1" applyFill="1" applyBorder="1" applyAlignment="1" applyProtection="1">
      <alignment horizontal="center" vertical="center"/>
      <protection hidden="1"/>
    </xf>
    <xf numFmtId="171" fontId="8" fillId="9" borderId="3" xfId="0" applyNumberFormat="1" applyFont="1" applyFill="1" applyBorder="1" applyAlignment="1" applyProtection="1">
      <alignment horizontal="center" vertical="center"/>
      <protection hidden="1"/>
    </xf>
    <xf numFmtId="171" fontId="8" fillId="9" borderId="13" xfId="0" applyNumberFormat="1" applyFont="1" applyFill="1" applyBorder="1" applyAlignment="1" applyProtection="1">
      <alignment horizontal="center" vertical="center"/>
      <protection hidden="1"/>
    </xf>
    <xf numFmtId="171" fontId="8" fillId="6" borderId="67" xfId="0" applyNumberFormat="1" applyFont="1" applyFill="1" applyBorder="1" applyAlignment="1" applyProtection="1">
      <alignment horizontal="center" vertical="center"/>
      <protection hidden="1"/>
    </xf>
    <xf numFmtId="171" fontId="8" fillId="6" borderId="68" xfId="0" applyNumberFormat="1" applyFont="1" applyFill="1" applyBorder="1" applyAlignment="1" applyProtection="1">
      <alignment horizontal="center" vertical="center"/>
      <protection hidden="1"/>
    </xf>
    <xf numFmtId="171" fontId="8" fillId="9" borderId="18" xfId="0" applyNumberFormat="1" applyFont="1" applyFill="1" applyBorder="1" applyAlignment="1" applyProtection="1">
      <alignment horizontal="center" vertical="center"/>
      <protection hidden="1"/>
    </xf>
    <xf numFmtId="171" fontId="8" fillId="9" borderId="20" xfId="0" applyNumberFormat="1" applyFont="1" applyFill="1" applyBorder="1" applyAlignment="1" applyProtection="1">
      <alignment horizontal="center" vertical="center"/>
      <protection hidden="1"/>
    </xf>
    <xf numFmtId="171" fontId="8" fillId="9" borderId="42" xfId="0" applyNumberFormat="1" applyFont="1" applyFill="1" applyBorder="1" applyAlignment="1" applyProtection="1">
      <alignment horizontal="center" vertical="center"/>
      <protection hidden="1"/>
    </xf>
    <xf numFmtId="2" fontId="8" fillId="6" borderId="9" xfId="0" applyNumberFormat="1" applyFont="1" applyFill="1" applyBorder="1" applyAlignment="1" applyProtection="1">
      <alignment horizontal="center" vertical="center"/>
      <protection hidden="1"/>
    </xf>
    <xf numFmtId="2" fontId="8" fillId="6" borderId="11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56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49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5" xfId="0" applyNumberFormat="1" applyFont="1" applyFill="1" applyBorder="1" applyAlignment="1" applyProtection="1">
      <alignment horizontal="center" vertical="center"/>
      <protection hidden="1"/>
    </xf>
    <xf numFmtId="9" fontId="29" fillId="6" borderId="40" xfId="0" applyNumberFormat="1" applyFont="1" applyFill="1" applyBorder="1" applyAlignment="1" applyProtection="1">
      <alignment horizontal="center" vertical="center"/>
      <protection hidden="1"/>
    </xf>
    <xf numFmtId="11" fontId="8" fillId="0" borderId="0" xfId="0" applyNumberFormat="1" applyFont="1" applyProtection="1">
      <protection hidden="1"/>
    </xf>
    <xf numFmtId="2" fontId="8" fillId="9" borderId="5" xfId="0" applyNumberFormat="1" applyFont="1" applyFill="1" applyBorder="1" applyAlignment="1" applyProtection="1">
      <alignment horizontal="center" vertical="center"/>
      <protection hidden="1"/>
    </xf>
    <xf numFmtId="2" fontId="8" fillId="9" borderId="65" xfId="0" applyNumberFormat="1" applyFont="1" applyFill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2" fontId="14" fillId="6" borderId="59" xfId="0" applyNumberFormat="1" applyFont="1" applyFill="1" applyBorder="1" applyAlignment="1" applyProtection="1">
      <alignment vertical="center" wrapText="1"/>
      <protection hidden="1"/>
    </xf>
    <xf numFmtId="2" fontId="14" fillId="6" borderId="69" xfId="0" applyNumberFormat="1" applyFont="1" applyFill="1" applyBorder="1" applyAlignment="1" applyProtection="1">
      <alignment vertical="center" wrapText="1"/>
      <protection hidden="1"/>
    </xf>
    <xf numFmtId="2" fontId="14" fillId="6" borderId="27" xfId="0" applyNumberFormat="1" applyFont="1" applyFill="1" applyBorder="1" applyAlignment="1" applyProtection="1">
      <alignment vertical="center" wrapText="1"/>
      <protection hidden="1"/>
    </xf>
    <xf numFmtId="2" fontId="14" fillId="6" borderId="73" xfId="0" applyNumberFormat="1" applyFont="1" applyFill="1" applyBorder="1" applyAlignment="1" applyProtection="1">
      <alignment vertical="center" wrapText="1"/>
      <protection hidden="1"/>
    </xf>
    <xf numFmtId="2" fontId="17" fillId="6" borderId="41" xfId="0" applyNumberFormat="1" applyFont="1" applyFill="1" applyBorder="1" applyAlignment="1" applyProtection="1">
      <alignment horizontal="center" vertical="center" wrapText="1"/>
      <protection hidden="1"/>
    </xf>
    <xf numFmtId="2" fontId="23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19" fillId="3" borderId="66" xfId="0" applyNumberFormat="1" applyFont="1" applyFill="1" applyBorder="1" applyAlignment="1" applyProtection="1">
      <alignment horizontal="center" vertical="top"/>
      <protection hidden="1"/>
    </xf>
    <xf numFmtId="2" fontId="17" fillId="6" borderId="67" xfId="0" applyNumberFormat="1" applyFont="1" applyFill="1" applyBorder="1" applyAlignment="1" applyProtection="1">
      <alignment horizontal="center" vertical="center"/>
      <protection hidden="1"/>
    </xf>
    <xf numFmtId="2" fontId="17" fillId="6" borderId="67" xfId="0" applyNumberFormat="1" applyFont="1" applyFill="1" applyBorder="1" applyAlignment="1" applyProtection="1">
      <alignment horizontal="left" vertical="center"/>
      <protection hidden="1"/>
    </xf>
    <xf numFmtId="2" fontId="17" fillId="6" borderId="67" xfId="0" applyNumberFormat="1" applyFont="1" applyFill="1" applyBorder="1" applyAlignment="1" applyProtection="1">
      <alignment vertical="center"/>
      <protection hidden="1"/>
    </xf>
    <xf numFmtId="2" fontId="8" fillId="6" borderId="67" xfId="0" applyNumberFormat="1" applyFont="1" applyFill="1" applyBorder="1" applyAlignment="1" applyProtection="1">
      <alignment horizontal="center" vertical="center"/>
      <protection hidden="1"/>
    </xf>
    <xf numFmtId="172" fontId="8" fillId="6" borderId="68" xfId="0" applyNumberFormat="1" applyFont="1" applyFill="1" applyBorder="1" applyProtection="1">
      <protection hidden="1"/>
    </xf>
    <xf numFmtId="173" fontId="8" fillId="9" borderId="63" xfId="0" applyNumberFormat="1" applyFont="1" applyFill="1" applyBorder="1" applyAlignment="1" applyProtection="1">
      <alignment horizontal="center" vertical="center" wrapText="1"/>
      <protection hidden="1"/>
    </xf>
    <xf numFmtId="173" fontId="8" fillId="9" borderId="64" xfId="0" applyNumberFormat="1" applyFont="1" applyFill="1" applyBorder="1" applyAlignment="1" applyProtection="1">
      <alignment horizontal="center" vertical="center"/>
      <protection hidden="1"/>
    </xf>
    <xf numFmtId="11" fontId="8" fillId="9" borderId="64" xfId="0" applyNumberFormat="1" applyFont="1" applyFill="1" applyBorder="1" applyAlignment="1" applyProtection="1">
      <alignment horizontal="center" vertical="center"/>
      <protection hidden="1"/>
    </xf>
    <xf numFmtId="173" fontId="8" fillId="9" borderId="65" xfId="0" applyNumberFormat="1" applyFont="1" applyFill="1" applyBorder="1" applyAlignment="1" applyProtection="1">
      <alignment horizontal="center" vertical="center"/>
      <protection hidden="1"/>
    </xf>
    <xf numFmtId="2" fontId="9" fillId="6" borderId="22" xfId="2" applyNumberFormat="1" applyFont="1" applyFill="1" applyBorder="1" applyAlignment="1" applyProtection="1">
      <alignment horizontal="center" vertical="center"/>
      <protection hidden="1"/>
    </xf>
    <xf numFmtId="2" fontId="9" fillId="6" borderId="23" xfId="2" applyNumberFormat="1" applyFont="1" applyFill="1" applyBorder="1" applyAlignment="1" applyProtection="1">
      <alignment horizontal="center" vertical="center"/>
      <protection hidden="1"/>
    </xf>
    <xf numFmtId="173" fontId="14" fillId="9" borderId="30" xfId="0" applyNumberFormat="1" applyFont="1" applyFill="1" applyBorder="1" applyAlignment="1" applyProtection="1">
      <alignment horizontal="center" vertical="center"/>
      <protection hidden="1"/>
    </xf>
    <xf numFmtId="0" fontId="4" fillId="6" borderId="32" xfId="2" applyFont="1" applyFill="1" applyBorder="1" applyAlignment="1" applyProtection="1">
      <alignment horizontal="center" vertical="center"/>
      <protection hidden="1"/>
    </xf>
    <xf numFmtId="0" fontId="4" fillId="6" borderId="34" xfId="2" applyFont="1" applyFill="1" applyBorder="1" applyAlignment="1" applyProtection="1">
      <alignment horizontal="center" vertical="center"/>
      <protection hidden="1"/>
    </xf>
    <xf numFmtId="2" fontId="9" fillId="6" borderId="32" xfId="2" applyNumberFormat="1" applyFont="1" applyFill="1" applyBorder="1" applyAlignment="1" applyProtection="1">
      <alignment horizontal="center" vertical="center"/>
      <protection hidden="1"/>
    </xf>
    <xf numFmtId="2" fontId="9" fillId="6" borderId="34" xfId="2" applyNumberFormat="1" applyFont="1" applyFill="1" applyBorder="1" applyAlignment="1" applyProtection="1">
      <alignment horizontal="center" vertical="center"/>
      <protection hidden="1"/>
    </xf>
    <xf numFmtId="11" fontId="14" fillId="9" borderId="15" xfId="0" applyNumberFormat="1" applyFont="1" applyFill="1" applyBorder="1" applyAlignment="1" applyProtection="1">
      <alignment horizontal="center" vertical="center"/>
      <protection hidden="1"/>
    </xf>
    <xf numFmtId="1" fontId="10" fillId="9" borderId="64" xfId="0" applyNumberFormat="1" applyFont="1" applyFill="1" applyBorder="1" applyAlignment="1" applyProtection="1">
      <alignment horizontal="center" vertical="center"/>
      <protection hidden="1"/>
    </xf>
    <xf numFmtId="1" fontId="36" fillId="9" borderId="64" xfId="0" applyNumberFormat="1" applyFont="1" applyFill="1" applyBorder="1" applyAlignment="1" applyProtection="1">
      <alignment horizontal="center" vertical="center"/>
      <protection hidden="1"/>
    </xf>
    <xf numFmtId="1" fontId="8" fillId="9" borderId="63" xfId="0" applyNumberFormat="1" applyFont="1" applyFill="1" applyBorder="1" applyAlignment="1" applyProtection="1">
      <alignment horizontal="center" vertical="center"/>
      <protection hidden="1"/>
    </xf>
    <xf numFmtId="1" fontId="8" fillId="9" borderId="64" xfId="0" applyNumberFormat="1" applyFont="1" applyFill="1" applyBorder="1" applyAlignment="1" applyProtection="1">
      <alignment horizontal="center" vertical="center"/>
      <protection hidden="1"/>
    </xf>
    <xf numFmtId="172" fontId="25" fillId="8" borderId="67" xfId="0" applyNumberFormat="1" applyFont="1" applyFill="1" applyBorder="1" applyAlignment="1" applyProtection="1">
      <alignment horizontal="center" vertical="center"/>
      <protection hidden="1"/>
    </xf>
    <xf numFmtId="2" fontId="47" fillId="8" borderId="67" xfId="0" applyNumberFormat="1" applyFont="1" applyFill="1" applyBorder="1" applyAlignment="1" applyProtection="1">
      <alignment horizontal="center" vertical="center"/>
      <protection hidden="1"/>
    </xf>
    <xf numFmtId="2" fontId="47" fillId="3" borderId="68" xfId="0" applyNumberFormat="1" applyFont="1" applyFill="1" applyBorder="1" applyAlignment="1" applyProtection="1">
      <alignment horizontal="center" vertical="center"/>
      <protection hidden="1"/>
    </xf>
    <xf numFmtId="2" fontId="9" fillId="9" borderId="42" xfId="0" applyNumberFormat="1" applyFont="1" applyFill="1" applyBorder="1" applyAlignment="1" applyProtection="1">
      <alignment horizontal="center" vertical="center"/>
      <protection hidden="1"/>
    </xf>
    <xf numFmtId="11" fontId="8" fillId="9" borderId="43" xfId="0" applyNumberFormat="1" applyFont="1" applyFill="1" applyBorder="1" applyAlignment="1" applyProtection="1">
      <alignment horizontal="center" vertical="center" wrapText="1"/>
      <protection hidden="1"/>
    </xf>
    <xf numFmtId="2" fontId="8" fillId="10" borderId="27" xfId="0" applyNumberFormat="1" applyFont="1" applyFill="1" applyBorder="1" applyAlignment="1" applyProtection="1">
      <alignment horizontal="center" vertical="center"/>
      <protection hidden="1"/>
    </xf>
    <xf numFmtId="2" fontId="25" fillId="8" borderId="66" xfId="0" applyNumberFormat="1" applyFont="1" applyFill="1" applyBorder="1" applyAlignment="1" applyProtection="1">
      <alignment horizontal="center" vertical="center"/>
      <protection hidden="1"/>
    </xf>
    <xf numFmtId="2" fontId="25" fillId="8" borderId="67" xfId="0" applyNumberFormat="1" applyFont="1" applyFill="1" applyBorder="1" applyAlignment="1" applyProtection="1">
      <alignment horizontal="center" vertical="center"/>
      <protection hidden="1"/>
    </xf>
    <xf numFmtId="2" fontId="47" fillId="3" borderId="67" xfId="0" applyNumberFormat="1" applyFont="1" applyFill="1" applyBorder="1" applyAlignment="1" applyProtection="1">
      <alignment horizontal="center" vertical="center" wrapText="1"/>
      <protection hidden="1"/>
    </xf>
    <xf numFmtId="171" fontId="8" fillId="9" borderId="6" xfId="0" applyNumberFormat="1" applyFont="1" applyFill="1" applyBorder="1" applyAlignment="1" applyProtection="1">
      <alignment horizontal="center" vertical="center"/>
      <protection hidden="1"/>
    </xf>
    <xf numFmtId="2" fontId="10" fillId="9" borderId="44" xfId="0" applyNumberFormat="1" applyFont="1" applyFill="1" applyBorder="1" applyAlignment="1" applyProtection="1">
      <alignment horizontal="center" vertical="center"/>
      <protection hidden="1"/>
    </xf>
    <xf numFmtId="0" fontId="8" fillId="9" borderId="4" xfId="0" applyFont="1" applyFill="1" applyBorder="1" applyAlignment="1" applyProtection="1">
      <alignment horizontal="center" vertical="center"/>
      <protection hidden="1"/>
    </xf>
    <xf numFmtId="0" fontId="8" fillId="9" borderId="37" xfId="0" applyFont="1" applyFill="1" applyBorder="1" applyAlignment="1" applyProtection="1">
      <alignment horizontal="center" vertical="center"/>
      <protection hidden="1"/>
    </xf>
    <xf numFmtId="1" fontId="8" fillId="6" borderId="6" xfId="0" applyNumberFormat="1" applyFont="1" applyFill="1" applyBorder="1" applyAlignment="1" applyProtection="1">
      <alignment horizontal="center" vertical="center"/>
      <protection hidden="1"/>
    </xf>
    <xf numFmtId="187" fontId="8" fillId="9" borderId="64" xfId="0" applyNumberFormat="1" applyFont="1" applyFill="1" applyBorder="1" applyAlignment="1" applyProtection="1">
      <alignment horizontal="center" vertical="center"/>
      <protection hidden="1"/>
    </xf>
    <xf numFmtId="1" fontId="9" fillId="9" borderId="10" xfId="0" applyNumberFormat="1" applyFont="1" applyFill="1" applyBorder="1" applyAlignment="1" applyProtection="1">
      <alignment horizontal="center" vertical="center"/>
      <protection hidden="1"/>
    </xf>
    <xf numFmtId="1" fontId="9" fillId="9" borderId="11" xfId="0" applyNumberFormat="1" applyFont="1" applyFill="1" applyBorder="1" applyAlignment="1" applyProtection="1">
      <alignment horizontal="center" vertical="center"/>
      <protection hidden="1"/>
    </xf>
    <xf numFmtId="1" fontId="14" fillId="6" borderId="62" xfId="0" applyNumberFormat="1" applyFont="1" applyFill="1" applyBorder="1" applyAlignment="1" applyProtection="1">
      <alignment horizontal="center" vertical="center" wrapText="1"/>
      <protection hidden="1"/>
    </xf>
    <xf numFmtId="171" fontId="14" fillId="9" borderId="3" xfId="0" applyNumberFormat="1" applyFont="1" applyFill="1" applyBorder="1" applyAlignment="1" applyProtection="1">
      <alignment horizontal="center" vertical="center"/>
      <protection hidden="1"/>
    </xf>
    <xf numFmtId="171" fontId="14" fillId="9" borderId="13" xfId="0" applyNumberFormat="1" applyFont="1" applyFill="1" applyBorder="1" applyAlignment="1" applyProtection="1">
      <alignment horizontal="center" vertical="center"/>
      <protection hidden="1"/>
    </xf>
    <xf numFmtId="171" fontId="14" fillId="9" borderId="6" xfId="0" applyNumberFormat="1" applyFont="1" applyFill="1" applyBorder="1" applyAlignment="1" applyProtection="1">
      <alignment horizontal="center" vertical="center"/>
      <protection hidden="1"/>
    </xf>
    <xf numFmtId="2" fontId="14" fillId="6" borderId="66" xfId="0" applyNumberFormat="1" applyFont="1" applyFill="1" applyBorder="1" applyAlignment="1" applyProtection="1">
      <alignment horizontal="center" vertical="center"/>
      <protection hidden="1"/>
    </xf>
    <xf numFmtId="2" fontId="14" fillId="6" borderId="67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68" xfId="0" applyNumberFormat="1" applyFont="1" applyFill="1" applyBorder="1" applyAlignment="1" applyProtection="1">
      <alignment horizontal="center" vertical="center" wrapText="1"/>
      <protection hidden="1"/>
    </xf>
    <xf numFmtId="171" fontId="14" fillId="9" borderId="15" xfId="0" applyNumberFormat="1" applyFont="1" applyFill="1" applyBorder="1" applyAlignment="1" applyProtection="1">
      <alignment horizontal="center" vertical="center"/>
      <protection hidden="1"/>
    </xf>
    <xf numFmtId="169" fontId="14" fillId="9" borderId="20" xfId="0" applyNumberFormat="1" applyFont="1" applyFill="1" applyBorder="1" applyAlignment="1" applyProtection="1">
      <alignment horizontal="center" vertical="center"/>
      <protection hidden="1"/>
    </xf>
    <xf numFmtId="164" fontId="14" fillId="9" borderId="8" xfId="0" applyNumberFormat="1" applyFont="1" applyFill="1" applyBorder="1" applyAlignment="1" applyProtection="1">
      <alignment horizontal="center" vertical="center"/>
      <protection hidden="1"/>
    </xf>
    <xf numFmtId="170" fontId="14" fillId="9" borderId="8" xfId="0" applyNumberFormat="1" applyFont="1" applyFill="1" applyBorder="1" applyAlignment="1" applyProtection="1">
      <alignment horizontal="center" vertical="center"/>
      <protection hidden="1"/>
    </xf>
    <xf numFmtId="170" fontId="14" fillId="9" borderId="5" xfId="0" applyNumberFormat="1" applyFont="1" applyFill="1" applyBorder="1" applyAlignment="1" applyProtection="1">
      <alignment horizontal="center" vertical="center"/>
      <protection hidden="1"/>
    </xf>
    <xf numFmtId="170" fontId="8" fillId="9" borderId="5" xfId="0" applyNumberFormat="1" applyFont="1" applyFill="1" applyBorder="1" applyAlignment="1" applyProtection="1">
      <alignment horizontal="center" vertical="center"/>
      <protection hidden="1"/>
    </xf>
    <xf numFmtId="170" fontId="8" fillId="9" borderId="8" xfId="0" applyNumberFormat="1" applyFont="1" applyFill="1" applyBorder="1" applyAlignment="1" applyProtection="1">
      <alignment horizontal="center" vertical="center"/>
      <protection hidden="1"/>
    </xf>
    <xf numFmtId="1" fontId="10" fillId="9" borderId="1" xfId="0" applyNumberFormat="1" applyFont="1" applyFill="1" applyBorder="1" applyAlignment="1" applyProtection="1">
      <alignment horizontal="center" vertical="center"/>
      <protection hidden="1"/>
    </xf>
    <xf numFmtId="1" fontId="10" fillId="9" borderId="5" xfId="0" applyNumberFormat="1" applyFont="1" applyFill="1" applyBorder="1" applyAlignment="1" applyProtection="1">
      <alignment horizontal="center" vertical="center"/>
      <protection hidden="1"/>
    </xf>
    <xf numFmtId="169" fontId="10" fillId="9" borderId="7" xfId="0" applyNumberFormat="1" applyFont="1" applyFill="1" applyBorder="1" applyAlignment="1" applyProtection="1">
      <alignment horizontal="center" vertical="center"/>
      <protection hidden="1"/>
    </xf>
    <xf numFmtId="169" fontId="10" fillId="9" borderId="8" xfId="0" applyNumberFormat="1" applyFont="1" applyFill="1" applyBorder="1" applyAlignment="1" applyProtection="1">
      <alignment horizontal="center" vertical="center"/>
      <protection hidden="1"/>
    </xf>
    <xf numFmtId="1" fontId="10" fillId="9" borderId="8" xfId="0" applyNumberFormat="1" applyFont="1" applyFill="1" applyBorder="1" applyAlignment="1" applyProtection="1">
      <alignment horizontal="center" vertical="center"/>
      <protection hidden="1"/>
    </xf>
    <xf numFmtId="1" fontId="8" fillId="9" borderId="41" xfId="0" applyNumberFormat="1" applyFont="1" applyFill="1" applyBorder="1" applyAlignment="1" applyProtection="1">
      <alignment horizontal="center" vertical="center"/>
      <protection hidden="1"/>
    </xf>
    <xf numFmtId="1" fontId="8" fillId="9" borderId="42" xfId="0" applyNumberFormat="1" applyFont="1" applyFill="1" applyBorder="1" applyAlignment="1" applyProtection="1">
      <alignment horizontal="center" vertical="center"/>
      <protection hidden="1"/>
    </xf>
    <xf numFmtId="2" fontId="8" fillId="6" borderId="11" xfId="0" applyNumberFormat="1" applyFont="1" applyFill="1" applyBorder="1" applyAlignment="1" applyProtection="1">
      <alignment horizontal="center" vertical="center"/>
      <protection hidden="1"/>
    </xf>
    <xf numFmtId="0" fontId="8" fillId="9" borderId="46" xfId="0" applyFont="1" applyFill="1" applyBorder="1" applyAlignment="1" applyProtection="1">
      <alignment horizontal="center" vertical="center"/>
      <protection hidden="1"/>
    </xf>
    <xf numFmtId="0" fontId="8" fillId="9" borderId="47" xfId="0" applyFont="1" applyFill="1" applyBorder="1" applyAlignment="1" applyProtection="1">
      <alignment horizontal="center" vertical="center"/>
      <protection hidden="1"/>
    </xf>
    <xf numFmtId="0" fontId="8" fillId="9" borderId="48" xfId="0" applyFont="1" applyFill="1" applyBorder="1" applyAlignment="1" applyProtection="1">
      <alignment horizontal="center" vertical="center"/>
      <protection hidden="1"/>
    </xf>
    <xf numFmtId="2" fontId="8" fillId="6" borderId="10" xfId="0" applyNumberFormat="1" applyFont="1" applyFill="1" applyBorder="1" applyAlignment="1" applyProtection="1">
      <alignment horizontal="center" vertical="center"/>
      <protection hidden="1"/>
    </xf>
    <xf numFmtId="2" fontId="6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8" fillId="9" borderId="6" xfId="0" applyNumberFormat="1" applyFont="1" applyFill="1" applyBorder="1" applyAlignment="1" applyProtection="1">
      <alignment horizontal="center" vertical="center"/>
      <protection hidden="1"/>
    </xf>
    <xf numFmtId="171" fontId="52" fillId="3" borderId="46" xfId="0" applyNumberFormat="1" applyFont="1" applyFill="1" applyBorder="1" applyAlignment="1" applyProtection="1">
      <alignment horizontal="center" vertical="center"/>
      <protection hidden="1"/>
    </xf>
    <xf numFmtId="171" fontId="52" fillId="3" borderId="47" xfId="0" applyNumberFormat="1" applyFont="1" applyFill="1" applyBorder="1" applyAlignment="1" applyProtection="1">
      <alignment horizontal="center" vertical="center"/>
      <protection hidden="1"/>
    </xf>
    <xf numFmtId="171" fontId="52" fillId="3" borderId="48" xfId="0" applyNumberFormat="1" applyFont="1" applyFill="1" applyBorder="1" applyAlignment="1" applyProtection="1">
      <alignment horizontal="center" vertical="center"/>
      <protection hidden="1"/>
    </xf>
    <xf numFmtId="166" fontId="8" fillId="9" borderId="55" xfId="0" applyNumberFormat="1" applyFont="1" applyFill="1" applyBorder="1" applyAlignment="1" applyProtection="1">
      <alignment horizontal="center" vertical="center"/>
      <protection hidden="1"/>
    </xf>
    <xf numFmtId="166" fontId="8" fillId="9" borderId="2" xfId="0" applyNumberFormat="1" applyFont="1" applyFill="1" applyBorder="1" applyAlignment="1" applyProtection="1">
      <alignment horizontal="center" vertical="center"/>
      <protection hidden="1"/>
    </xf>
    <xf numFmtId="166" fontId="8" fillId="9" borderId="35" xfId="0" applyNumberFormat="1" applyFont="1" applyFill="1" applyBorder="1" applyAlignment="1" applyProtection="1">
      <alignment horizontal="center" vertical="center"/>
      <protection hidden="1"/>
    </xf>
    <xf numFmtId="164" fontId="8" fillId="9" borderId="66" xfId="0" applyNumberFormat="1" applyFont="1" applyFill="1" applyBorder="1" applyAlignment="1" applyProtection="1">
      <alignment horizontal="center" vertical="center"/>
      <protection hidden="1"/>
    </xf>
    <xf numFmtId="164" fontId="8" fillId="9" borderId="67" xfId="0" applyNumberFormat="1" applyFont="1" applyFill="1" applyBorder="1" applyAlignment="1" applyProtection="1">
      <alignment horizontal="center" vertical="center"/>
      <protection hidden="1"/>
    </xf>
    <xf numFmtId="2" fontId="8" fillId="9" borderId="67" xfId="0" applyNumberFormat="1" applyFont="1" applyFill="1" applyBorder="1" applyAlignment="1" applyProtection="1">
      <alignment horizontal="center" vertical="center"/>
      <protection hidden="1"/>
    </xf>
    <xf numFmtId="2" fontId="8" fillId="9" borderId="68" xfId="0" applyNumberFormat="1" applyFont="1" applyFill="1" applyBorder="1" applyAlignment="1" applyProtection="1">
      <alignment horizontal="center" vertical="center"/>
      <protection hidden="1"/>
    </xf>
    <xf numFmtId="2" fontId="8" fillId="6" borderId="32" xfId="0" applyNumberFormat="1" applyFont="1" applyFill="1" applyBorder="1" applyAlignment="1" applyProtection="1">
      <alignment horizontal="center" vertical="center"/>
      <protection hidden="1"/>
    </xf>
    <xf numFmtId="2" fontId="8" fillId="6" borderId="52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/>
    <xf numFmtId="0" fontId="30" fillId="0" borderId="0" xfId="0" applyFont="1" applyAlignment="1" applyProtection="1">
      <alignment horizontal="center" vertical="center"/>
      <protection hidden="1"/>
    </xf>
    <xf numFmtId="0" fontId="30" fillId="0" borderId="0" xfId="0" applyFont="1" applyProtection="1">
      <protection hidden="1"/>
    </xf>
    <xf numFmtId="164" fontId="8" fillId="9" borderId="8" xfId="0" applyNumberFormat="1" applyFont="1" applyFill="1" applyBorder="1" applyAlignment="1" applyProtection="1">
      <alignment horizontal="center" vertical="center"/>
      <protection hidden="1"/>
    </xf>
    <xf numFmtId="9" fontId="8" fillId="9" borderId="37" xfId="1" applyFont="1" applyFill="1" applyBorder="1" applyAlignment="1" applyProtection="1">
      <alignment horizontal="center" vertical="center"/>
      <protection hidden="1"/>
    </xf>
    <xf numFmtId="9" fontId="8" fillId="9" borderId="40" xfId="1" applyFont="1" applyFill="1" applyBorder="1" applyAlignment="1" applyProtection="1">
      <alignment horizontal="center" vertical="center"/>
      <protection hidden="1"/>
    </xf>
    <xf numFmtId="9" fontId="8" fillId="9" borderId="12" xfId="1" applyFont="1" applyFill="1" applyBorder="1" applyAlignment="1" applyProtection="1">
      <alignment horizontal="center" vertical="center"/>
      <protection hidden="1"/>
    </xf>
    <xf numFmtId="167" fontId="10" fillId="9" borderId="7" xfId="0" applyNumberFormat="1" applyFont="1" applyFill="1" applyBorder="1" applyAlignment="1" applyProtection="1">
      <alignment horizontal="center" vertical="center"/>
      <protection hidden="1"/>
    </xf>
    <xf numFmtId="167" fontId="10" fillId="9" borderId="8" xfId="0" applyNumberFormat="1" applyFont="1" applyFill="1" applyBorder="1" applyAlignment="1" applyProtection="1">
      <alignment horizontal="center" vertical="center"/>
      <protection hidden="1"/>
    </xf>
    <xf numFmtId="171" fontId="14" fillId="9" borderId="5" xfId="0" applyNumberFormat="1" applyFont="1" applyFill="1" applyBorder="1" applyAlignment="1" applyProtection="1">
      <alignment horizontal="center" vertical="center"/>
      <protection hidden="1"/>
    </xf>
    <xf numFmtId="1" fontId="9" fillId="9" borderId="5" xfId="0" applyNumberFormat="1" applyFont="1" applyFill="1" applyBorder="1" applyAlignment="1" applyProtection="1">
      <alignment horizontal="center" vertical="center" wrapText="1"/>
      <protection hidden="1"/>
    </xf>
    <xf numFmtId="164" fontId="9" fillId="9" borderId="5" xfId="0" applyNumberFormat="1" applyFont="1" applyFill="1" applyBorder="1" applyAlignment="1" applyProtection="1">
      <alignment horizontal="center" vertical="center" wrapText="1"/>
      <protection hidden="1"/>
    </xf>
    <xf numFmtId="1" fontId="9" fillId="9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9" borderId="1" xfId="0" applyNumberFormat="1" applyFont="1" applyFill="1" applyBorder="1" applyAlignment="1" applyProtection="1">
      <alignment horizontal="center" vertical="center" wrapText="1"/>
      <protection hidden="1"/>
    </xf>
    <xf numFmtId="2" fontId="14" fillId="9" borderId="1" xfId="0" applyNumberFormat="1" applyFont="1" applyFill="1" applyBorder="1" applyAlignment="1" applyProtection="1">
      <alignment horizontal="center" vertical="center"/>
      <protection hidden="1"/>
    </xf>
    <xf numFmtId="2" fontId="14" fillId="9" borderId="8" xfId="0" applyNumberFormat="1" applyFont="1" applyFill="1" applyBorder="1" applyAlignment="1" applyProtection="1">
      <alignment horizontal="center" vertical="center"/>
      <protection hidden="1"/>
    </xf>
    <xf numFmtId="1" fontId="9" fillId="9" borderId="8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49" xfId="0" applyNumberFormat="1" applyFont="1" applyFill="1" applyBorder="1" applyAlignment="1" applyProtection="1">
      <alignment horizontal="center" vertical="center"/>
      <protection hidden="1"/>
    </xf>
    <xf numFmtId="2" fontId="17" fillId="6" borderId="52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26" xfId="0" applyNumberFormat="1" applyFont="1" applyFill="1" applyBorder="1" applyAlignment="1" applyProtection="1">
      <alignment vertical="center"/>
      <protection hidden="1"/>
    </xf>
    <xf numFmtId="2" fontId="8" fillId="6" borderId="26" xfId="0" applyNumberFormat="1" applyFont="1" applyFill="1" applyBorder="1" applyProtection="1">
      <protection hidden="1"/>
    </xf>
    <xf numFmtId="2" fontId="8" fillId="6" borderId="29" xfId="0" applyNumberFormat="1" applyFont="1" applyFill="1" applyBorder="1" applyAlignment="1" applyProtection="1">
      <alignment horizontal="centerContinuous"/>
      <protection hidden="1"/>
    </xf>
    <xf numFmtId="170" fontId="8" fillId="9" borderId="1" xfId="0" applyNumberFormat="1" applyFont="1" applyFill="1" applyBorder="1" applyAlignment="1" applyProtection="1">
      <alignment horizontal="center" vertical="center"/>
      <protection hidden="1"/>
    </xf>
    <xf numFmtId="171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170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1" fontId="8" fillId="9" borderId="1" xfId="1" applyNumberFormat="1" applyFont="1" applyFill="1" applyBorder="1" applyAlignment="1" applyProtection="1">
      <alignment horizontal="center" vertical="center" wrapText="1"/>
      <protection hidden="1"/>
    </xf>
    <xf numFmtId="1" fontId="8" fillId="9" borderId="2" xfId="1" applyNumberFormat="1" applyFont="1" applyFill="1" applyBorder="1" applyAlignment="1" applyProtection="1">
      <alignment horizontal="center" vertical="center" wrapText="1"/>
      <protection hidden="1"/>
    </xf>
    <xf numFmtId="170" fontId="8" fillId="9" borderId="67" xfId="0" applyNumberFormat="1" applyFont="1" applyFill="1" applyBorder="1" applyAlignment="1" applyProtection="1">
      <alignment horizontal="center" vertical="center"/>
      <protection hidden="1"/>
    </xf>
    <xf numFmtId="171" fontId="8" fillId="9" borderId="8" xfId="0" applyNumberFormat="1" applyFont="1" applyFill="1" applyBorder="1" applyAlignment="1" applyProtection="1">
      <alignment horizontal="center" vertical="center" wrapText="1"/>
      <protection hidden="1"/>
    </xf>
    <xf numFmtId="170" fontId="8" fillId="9" borderId="8" xfId="0" applyNumberFormat="1" applyFont="1" applyFill="1" applyBorder="1" applyAlignment="1" applyProtection="1">
      <alignment horizontal="center" vertical="center" wrapText="1"/>
      <protection hidden="1"/>
    </xf>
    <xf numFmtId="1" fontId="8" fillId="9" borderId="8" xfId="0" applyNumberFormat="1" applyFont="1" applyFill="1" applyBorder="1" applyAlignment="1" applyProtection="1">
      <alignment horizontal="center" vertical="center"/>
      <protection hidden="1"/>
    </xf>
    <xf numFmtId="1" fontId="8" fillId="9" borderId="8" xfId="1" applyNumberFormat="1" applyFont="1" applyFill="1" applyBorder="1" applyAlignment="1" applyProtection="1">
      <alignment horizontal="center" vertical="center" wrapText="1"/>
      <protection hidden="1"/>
    </xf>
    <xf numFmtId="1" fontId="8" fillId="9" borderId="35" xfId="1" applyNumberFormat="1" applyFont="1" applyFill="1" applyBorder="1" applyAlignment="1" applyProtection="1">
      <alignment horizontal="center" vertical="center" wrapText="1"/>
      <protection hidden="1"/>
    </xf>
    <xf numFmtId="170" fontId="8" fillId="9" borderId="68" xfId="0" applyNumberFormat="1" applyFont="1" applyFill="1" applyBorder="1" applyAlignment="1" applyProtection="1">
      <alignment horizontal="center" vertical="center"/>
      <protection hidden="1"/>
    </xf>
    <xf numFmtId="171" fontId="8" fillId="9" borderId="5" xfId="0" applyNumberFormat="1" applyFont="1" applyFill="1" applyBorder="1" applyAlignment="1" applyProtection="1">
      <alignment horizontal="center" vertical="center"/>
      <protection hidden="1"/>
    </xf>
    <xf numFmtId="171" fontId="8" fillId="9" borderId="5" xfId="0" applyNumberFormat="1" applyFont="1" applyFill="1" applyBorder="1" applyAlignment="1" applyProtection="1">
      <alignment horizontal="center" vertical="center" wrapText="1"/>
      <protection hidden="1"/>
    </xf>
    <xf numFmtId="170" fontId="8" fillId="9" borderId="5" xfId="0" applyNumberFormat="1" applyFont="1" applyFill="1" applyBorder="1" applyAlignment="1" applyProtection="1">
      <alignment horizontal="center" vertical="center" wrapText="1"/>
      <protection hidden="1"/>
    </xf>
    <xf numFmtId="1" fontId="8" fillId="9" borderId="5" xfId="1" applyNumberFormat="1" applyFont="1" applyFill="1" applyBorder="1" applyAlignment="1" applyProtection="1">
      <alignment horizontal="center" vertical="center" wrapText="1"/>
      <protection hidden="1"/>
    </xf>
    <xf numFmtId="1" fontId="8" fillId="9" borderId="55" xfId="1" applyNumberFormat="1" applyFont="1" applyFill="1" applyBorder="1" applyAlignment="1" applyProtection="1">
      <alignment horizontal="center" vertical="center" wrapText="1"/>
      <protection hidden="1"/>
    </xf>
    <xf numFmtId="170" fontId="8" fillId="9" borderId="66" xfId="0" applyNumberFormat="1" applyFont="1" applyFill="1" applyBorder="1" applyAlignment="1" applyProtection="1">
      <alignment horizontal="center" vertical="center"/>
      <protection hidden="1"/>
    </xf>
    <xf numFmtId="2" fontId="42" fillId="9" borderId="9" xfId="0" applyNumberFormat="1" applyFont="1" applyFill="1" applyBorder="1" applyAlignment="1" applyProtection="1">
      <alignment horizontal="center" vertical="center"/>
      <protection hidden="1"/>
    </xf>
    <xf numFmtId="170" fontId="14" fillId="9" borderId="10" xfId="0" applyNumberFormat="1" applyFont="1" applyFill="1" applyBorder="1" applyAlignment="1" applyProtection="1">
      <alignment horizontal="center" vertical="center"/>
      <protection hidden="1"/>
    </xf>
    <xf numFmtId="170" fontId="14" fillId="9" borderId="11" xfId="0" applyNumberFormat="1" applyFont="1" applyFill="1" applyBorder="1" applyAlignment="1" applyProtection="1">
      <alignment horizontal="center" vertical="center"/>
      <protection hidden="1"/>
    </xf>
    <xf numFmtId="2" fontId="17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15" fillId="0" borderId="0" xfId="0" applyNumberFormat="1" applyFont="1" applyProtection="1">
      <protection hidden="1"/>
    </xf>
    <xf numFmtId="0" fontId="39" fillId="6" borderId="55" xfId="0" applyFont="1" applyFill="1" applyBorder="1" applyAlignment="1" applyProtection="1">
      <alignment horizontal="center" vertical="center" wrapText="1"/>
      <protection hidden="1"/>
    </xf>
    <xf numFmtId="2" fontId="15" fillId="0" borderId="0" xfId="0" applyNumberFormat="1" applyFont="1" applyAlignment="1" applyProtection="1">
      <alignment vertical="center"/>
      <protection hidden="1"/>
    </xf>
    <xf numFmtId="2" fontId="5" fillId="19" borderId="10" xfId="0" applyNumberFormat="1" applyFont="1" applyFill="1" applyBorder="1" applyAlignment="1" applyProtection="1">
      <alignment horizontal="center" vertical="center" wrapText="1"/>
      <protection hidden="1"/>
    </xf>
    <xf numFmtId="2" fontId="5" fillId="19" borderId="11" xfId="0" applyNumberFormat="1" applyFont="1" applyFill="1" applyBorder="1" applyAlignment="1" applyProtection="1">
      <alignment horizontal="center" vertical="center" wrapText="1"/>
      <protection hidden="1"/>
    </xf>
    <xf numFmtId="2" fontId="6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186" fontId="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9" fontId="10" fillId="9" borderId="4" xfId="0" applyNumberFormat="1" applyFont="1" applyFill="1" applyBorder="1" applyAlignment="1" applyProtection="1">
      <alignment horizontal="center" vertical="center"/>
      <protection hidden="1"/>
    </xf>
    <xf numFmtId="2" fontId="14" fillId="9" borderId="10" xfId="0" applyNumberFormat="1" applyFont="1" applyFill="1" applyBorder="1" applyAlignment="1" applyProtection="1">
      <alignment horizontal="center" vertical="center"/>
      <protection hidden="1"/>
    </xf>
    <xf numFmtId="170" fontId="14" fillId="9" borderId="1" xfId="0" applyNumberFormat="1" applyFont="1" applyFill="1" applyBorder="1" applyAlignment="1" applyProtection="1">
      <alignment horizontal="center" vertical="center"/>
      <protection hidden="1"/>
    </xf>
    <xf numFmtId="171" fontId="9" fillId="9" borderId="4" xfId="0" applyNumberFormat="1" applyFont="1" applyFill="1" applyBorder="1" applyAlignment="1" applyProtection="1">
      <alignment horizontal="center" vertical="center" wrapText="1"/>
      <protection hidden="1"/>
    </xf>
    <xf numFmtId="171" fontId="9" fillId="9" borderId="39" xfId="0" applyNumberFormat="1" applyFont="1" applyFill="1" applyBorder="1" applyAlignment="1" applyProtection="1">
      <alignment horizontal="center" vertical="center" wrapText="1"/>
      <protection hidden="1"/>
    </xf>
    <xf numFmtId="2" fontId="16" fillId="6" borderId="45" xfId="2" applyNumberFormat="1" applyFont="1" applyFill="1" applyBorder="1" applyAlignment="1" applyProtection="1">
      <alignment horizontal="center" vertical="center" wrapText="1"/>
      <protection hidden="1"/>
    </xf>
    <xf numFmtId="180" fontId="8" fillId="20" borderId="39" xfId="3" applyNumberFormat="1" applyFont="1" applyFill="1" applyBorder="1" applyAlignment="1" applyProtection="1">
      <alignment horizontal="center" vertical="center"/>
      <protection locked="0" hidden="1"/>
    </xf>
    <xf numFmtId="180" fontId="8" fillId="20" borderId="7" xfId="3" applyNumberFormat="1" applyFont="1" applyFill="1" applyBorder="1" applyAlignment="1" applyProtection="1">
      <alignment horizontal="center" vertical="center"/>
      <protection locked="0" hidden="1"/>
    </xf>
    <xf numFmtId="0" fontId="29" fillId="0" borderId="5" xfId="0" applyFont="1" applyBorder="1" applyAlignment="1" applyProtection="1">
      <alignment horizontal="center" vertical="center"/>
      <protection hidden="1"/>
    </xf>
    <xf numFmtId="0" fontId="29" fillId="0" borderId="8" xfId="0" applyFont="1" applyBorder="1" applyAlignment="1" applyProtection="1">
      <alignment horizontal="center" vertical="center"/>
      <protection hidden="1"/>
    </xf>
    <xf numFmtId="166" fontId="10" fillId="0" borderId="0" xfId="2" applyNumberFormat="1" applyFont="1" applyFill="1" applyBorder="1" applyAlignment="1" applyProtection="1">
      <alignment horizontal="center" vertical="center"/>
      <protection hidden="1"/>
    </xf>
    <xf numFmtId="188" fontId="8" fillId="9" borderId="8" xfId="0" applyNumberFormat="1" applyFont="1" applyFill="1" applyBorder="1" applyAlignment="1" applyProtection="1">
      <alignment horizontal="center" vertical="center"/>
      <protection hidden="1"/>
    </xf>
    <xf numFmtId="2" fontId="10" fillId="9" borderId="14" xfId="2" applyNumberFormat="1" applyFont="1" applyFill="1" applyBorder="1" applyAlignment="1" applyProtection="1">
      <alignment horizontal="right" vertical="center"/>
      <protection hidden="1"/>
    </xf>
    <xf numFmtId="1" fontId="8" fillId="9" borderId="16" xfId="0" applyNumberFormat="1" applyFont="1" applyFill="1" applyBorder="1" applyAlignment="1" applyProtection="1">
      <alignment horizontal="left" vertical="center"/>
      <protection hidden="1"/>
    </xf>
    <xf numFmtId="170" fontId="14" fillId="6" borderId="32" xfId="0" applyNumberFormat="1" applyFont="1" applyFill="1" applyBorder="1" applyAlignment="1" applyProtection="1">
      <alignment horizontal="center" vertical="center"/>
      <protection hidden="1"/>
    </xf>
    <xf numFmtId="0" fontId="28" fillId="6" borderId="34" xfId="0" applyFont="1" applyFill="1" applyBorder="1" applyAlignment="1" applyProtection="1">
      <alignment horizontal="center" vertical="center"/>
      <protection hidden="1"/>
    </xf>
    <xf numFmtId="2" fontId="25" fillId="8" borderId="56" xfId="0" applyNumberFormat="1" applyFont="1" applyFill="1" applyBorder="1" applyAlignment="1" applyProtection="1">
      <alignment horizontal="center" vertical="center"/>
      <protection hidden="1"/>
    </xf>
    <xf numFmtId="2" fontId="25" fillId="3" borderId="57" xfId="0" applyNumberFormat="1" applyFont="1" applyFill="1" applyBorder="1" applyAlignment="1" applyProtection="1">
      <alignment horizontal="center" vertical="center" wrapText="1"/>
      <protection hidden="1"/>
    </xf>
    <xf numFmtId="2" fontId="25" fillId="3" borderId="23" xfId="0" applyNumberFormat="1" applyFont="1" applyFill="1" applyBorder="1" applyAlignment="1" applyProtection="1">
      <alignment horizontal="center" vertical="center" wrapText="1"/>
      <protection hidden="1"/>
    </xf>
    <xf numFmtId="169" fontId="10" fillId="9" borderId="5" xfId="0" applyNumberFormat="1" applyFont="1" applyFill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71" fontId="0" fillId="0" borderId="8" xfId="0" applyNumberFormat="1" applyBorder="1" applyAlignment="1">
      <alignment horizontal="center" vertical="center"/>
    </xf>
    <xf numFmtId="0" fontId="42" fillId="19" borderId="56" xfId="0" applyFont="1" applyFill="1" applyBorder="1" applyAlignment="1">
      <alignment horizontal="center" vertical="center" wrapText="1"/>
    </xf>
    <xf numFmtId="0" fontId="42" fillId="19" borderId="49" xfId="0" applyFont="1" applyFill="1" applyBorder="1" applyAlignment="1">
      <alignment horizontal="center" vertical="center" wrapText="1"/>
    </xf>
    <xf numFmtId="0" fontId="42" fillId="19" borderId="57" xfId="0" applyFont="1" applyFill="1" applyBorder="1" applyAlignment="1">
      <alignment horizontal="center" vertical="center" wrapText="1"/>
    </xf>
    <xf numFmtId="189" fontId="0" fillId="0" borderId="1" xfId="0" applyNumberFormat="1" applyBorder="1" applyAlignment="1">
      <alignment horizontal="center" vertical="center"/>
    </xf>
    <xf numFmtId="189" fontId="0" fillId="0" borderId="5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89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1" fontId="0" fillId="0" borderId="5" xfId="0" applyNumberFormat="1" applyBorder="1" applyAlignment="1">
      <alignment horizontal="center" vertical="center"/>
    </xf>
    <xf numFmtId="1" fontId="6" fillId="2" borderId="17" xfId="0" applyNumberFormat="1" applyFont="1" applyFill="1" applyBorder="1" applyAlignment="1" applyProtection="1">
      <alignment horizontal="center" vertical="center" wrapText="1"/>
      <protection hidden="1"/>
    </xf>
    <xf numFmtId="1" fontId="6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9" fillId="0" borderId="0" xfId="0" applyFont="1" applyAlignment="1" applyProtection="1">
      <alignment horizontal="center" vertical="center" wrapText="1"/>
      <protection hidden="1"/>
    </xf>
    <xf numFmtId="169" fontId="28" fillId="0" borderId="0" xfId="0" applyNumberFormat="1" applyFont="1" applyAlignment="1" applyProtection="1">
      <alignment horizontal="center"/>
      <protection hidden="1"/>
    </xf>
    <xf numFmtId="2" fontId="14" fillId="6" borderId="54" xfId="0" applyNumberFormat="1" applyFont="1" applyFill="1" applyBorder="1" applyAlignment="1" applyProtection="1">
      <alignment horizontal="center" vertical="top"/>
      <protection hidden="1"/>
    </xf>
    <xf numFmtId="164" fontId="14" fillId="9" borderId="37" xfId="0" applyNumberFormat="1" applyFont="1" applyFill="1" applyBorder="1" applyAlignment="1" applyProtection="1">
      <alignment horizontal="center" vertical="center"/>
      <protection hidden="1"/>
    </xf>
    <xf numFmtId="164" fontId="14" fillId="9" borderId="40" xfId="0" applyNumberFormat="1" applyFont="1" applyFill="1" applyBorder="1" applyAlignment="1" applyProtection="1">
      <alignment horizontal="center" vertical="center"/>
      <protection hidden="1"/>
    </xf>
    <xf numFmtId="164" fontId="14" fillId="9" borderId="12" xfId="0" applyNumberFormat="1" applyFont="1" applyFill="1" applyBorder="1" applyAlignment="1" applyProtection="1">
      <alignment horizontal="center" vertical="center"/>
      <protection hidden="1"/>
    </xf>
    <xf numFmtId="2" fontId="9" fillId="9" borderId="8" xfId="0" applyNumberFormat="1" applyFont="1" applyFill="1" applyBorder="1" applyAlignment="1" applyProtection="1">
      <alignment horizontal="center" vertical="center" wrapText="1"/>
      <protection hidden="1"/>
    </xf>
    <xf numFmtId="180" fontId="29" fillId="0" borderId="8" xfId="0" applyNumberFormat="1" applyFont="1" applyBorder="1" applyAlignment="1" applyProtection="1">
      <alignment horizontal="center" vertical="center"/>
      <protection hidden="1"/>
    </xf>
    <xf numFmtId="180" fontId="29" fillId="0" borderId="5" xfId="0" applyNumberFormat="1" applyFont="1" applyBorder="1" applyAlignment="1" applyProtection="1">
      <alignment horizontal="center" vertical="center"/>
      <protection hidden="1"/>
    </xf>
    <xf numFmtId="180" fontId="29" fillId="0" borderId="1" xfId="0" applyNumberFormat="1" applyFont="1" applyBorder="1" applyAlignment="1" applyProtection="1">
      <alignment horizontal="center" vertical="center"/>
      <protection hidden="1"/>
    </xf>
    <xf numFmtId="2" fontId="29" fillId="0" borderId="1" xfId="0" applyNumberFormat="1" applyFont="1" applyBorder="1" applyAlignment="1" applyProtection="1">
      <alignment horizontal="center" vertical="center"/>
      <protection hidden="1"/>
    </xf>
    <xf numFmtId="169" fontId="29" fillId="0" borderId="1" xfId="0" applyNumberFormat="1" applyFont="1" applyBorder="1" applyAlignment="1" applyProtection="1">
      <alignment horizontal="center" vertical="center"/>
      <protection hidden="1"/>
    </xf>
    <xf numFmtId="0" fontId="29" fillId="0" borderId="40" xfId="0" applyFont="1" applyBorder="1" applyAlignment="1" applyProtection="1">
      <alignment horizontal="center" vertical="center"/>
      <protection hidden="1"/>
    </xf>
    <xf numFmtId="171" fontId="29" fillId="0" borderId="1" xfId="0" applyNumberFormat="1" applyFont="1" applyBorder="1" applyAlignment="1" applyProtection="1">
      <alignment horizontal="center" vertical="center"/>
      <protection hidden="1"/>
    </xf>
    <xf numFmtId="169" fontId="29" fillId="0" borderId="8" xfId="0" applyNumberFormat="1" applyFont="1" applyBorder="1" applyAlignment="1" applyProtection="1">
      <alignment horizontal="center" vertical="center"/>
      <protection hidden="1"/>
    </xf>
    <xf numFmtId="0" fontId="29" fillId="0" borderId="12" xfId="0" applyFont="1" applyBorder="1" applyAlignment="1" applyProtection="1">
      <alignment horizontal="center" vertical="center"/>
      <protection hidden="1"/>
    </xf>
    <xf numFmtId="164" fontId="29" fillId="0" borderId="5" xfId="0" applyNumberFormat="1" applyFont="1" applyBorder="1" applyAlignment="1" applyProtection="1">
      <alignment horizontal="center" vertical="center"/>
      <protection hidden="1"/>
    </xf>
    <xf numFmtId="0" fontId="29" fillId="0" borderId="37" xfId="0" applyFont="1" applyBorder="1" applyAlignment="1" applyProtection="1">
      <alignment horizontal="center" vertical="center"/>
      <protection hidden="1"/>
    </xf>
    <xf numFmtId="164" fontId="29" fillId="0" borderId="1" xfId="0" applyNumberFormat="1" applyFont="1" applyBorder="1" applyAlignment="1" applyProtection="1">
      <alignment horizontal="center" vertical="center"/>
      <protection hidden="1"/>
    </xf>
    <xf numFmtId="171" fontId="29" fillId="0" borderId="8" xfId="0" applyNumberFormat="1" applyFont="1" applyBorder="1" applyAlignment="1" applyProtection="1">
      <alignment horizontal="center" vertical="center"/>
      <protection hidden="1"/>
    </xf>
    <xf numFmtId="2" fontId="29" fillId="0" borderId="5" xfId="0" applyNumberFormat="1" applyFont="1" applyBorder="1" applyAlignment="1" applyProtection="1">
      <alignment horizontal="center" vertical="center"/>
      <protection hidden="1"/>
    </xf>
    <xf numFmtId="166" fontId="29" fillId="0" borderId="1" xfId="0" applyNumberFormat="1" applyFont="1" applyBorder="1" applyAlignment="1" applyProtection="1">
      <alignment horizontal="center" vertical="center"/>
      <protection hidden="1"/>
    </xf>
    <xf numFmtId="165" fontId="29" fillId="0" borderId="1" xfId="0" applyNumberFormat="1" applyFont="1" applyBorder="1" applyAlignment="1" applyProtection="1">
      <alignment horizontal="center" vertical="center"/>
      <protection hidden="1"/>
    </xf>
    <xf numFmtId="179" fontId="29" fillId="0" borderId="1" xfId="0" applyNumberFormat="1" applyFont="1" applyBorder="1" applyAlignment="1" applyProtection="1">
      <alignment horizontal="center" vertical="center"/>
      <protection hidden="1"/>
    </xf>
    <xf numFmtId="166" fontId="29" fillId="0" borderId="5" xfId="0" applyNumberFormat="1" applyFont="1" applyBorder="1" applyAlignment="1" applyProtection="1">
      <alignment horizontal="center" vertical="center"/>
      <protection hidden="1"/>
    </xf>
    <xf numFmtId="165" fontId="29" fillId="0" borderId="5" xfId="0" applyNumberFormat="1" applyFont="1" applyBorder="1" applyAlignment="1" applyProtection="1">
      <alignment horizontal="center" vertical="center"/>
      <protection hidden="1"/>
    </xf>
    <xf numFmtId="3" fontId="29" fillId="17" borderId="32" xfId="0" applyNumberFormat="1" applyFont="1" applyFill="1" applyBorder="1" applyAlignment="1">
      <alignment vertical="center" wrapText="1"/>
    </xf>
    <xf numFmtId="0" fontId="29" fillId="22" borderId="4" xfId="0" applyFont="1" applyFill="1" applyBorder="1" applyAlignment="1">
      <alignment horizontal="center" vertical="center" wrapText="1"/>
    </xf>
    <xf numFmtId="3" fontId="29" fillId="17" borderId="54" xfId="0" applyNumberFormat="1" applyFont="1" applyFill="1" applyBorder="1" applyAlignment="1">
      <alignment horizontal="center" vertical="center" wrapText="1"/>
    </xf>
    <xf numFmtId="171" fontId="29" fillId="22" borderId="39" xfId="0" applyNumberFormat="1" applyFont="1" applyFill="1" applyBorder="1" applyAlignment="1">
      <alignment horizontal="center" vertical="center" wrapText="1"/>
    </xf>
    <xf numFmtId="3" fontId="29" fillId="17" borderId="33" xfId="0" applyNumberFormat="1" applyFont="1" applyFill="1" applyBorder="1" applyAlignment="1">
      <alignment horizontal="center" wrapText="1"/>
    </xf>
    <xf numFmtId="0" fontId="29" fillId="22" borderId="7" xfId="0" applyFont="1" applyFill="1" applyBorder="1" applyAlignment="1">
      <alignment horizontal="center" vertical="center"/>
    </xf>
    <xf numFmtId="171" fontId="28" fillId="23" borderId="4" xfId="0" applyNumberFormat="1" applyFont="1" applyFill="1" applyBorder="1" applyAlignment="1" applyProtection="1">
      <alignment horizontal="center" vertical="center"/>
      <protection hidden="1"/>
    </xf>
    <xf numFmtId="0" fontId="28" fillId="23" borderId="5" xfId="0" applyFont="1" applyFill="1" applyBorder="1" applyAlignment="1" applyProtection="1">
      <alignment horizontal="center" vertical="center"/>
      <protection hidden="1"/>
    </xf>
    <xf numFmtId="171" fontId="28" fillId="23" borderId="5" xfId="0" applyNumberFormat="1" applyFont="1" applyFill="1" applyBorder="1" applyAlignment="1" applyProtection="1">
      <alignment horizontal="center" vertical="center"/>
      <protection hidden="1"/>
    </xf>
    <xf numFmtId="171" fontId="28" fillId="23" borderId="37" xfId="0" applyNumberFormat="1" applyFont="1" applyFill="1" applyBorder="1" applyAlignment="1" applyProtection="1">
      <alignment horizontal="center" vertical="center"/>
      <protection hidden="1"/>
    </xf>
    <xf numFmtId="0" fontId="28" fillId="23" borderId="39" xfId="0" applyFont="1" applyFill="1" applyBorder="1" applyAlignment="1" applyProtection="1">
      <alignment horizontal="center" vertical="center"/>
      <protection hidden="1"/>
    </xf>
    <xf numFmtId="0" fontId="28" fillId="23" borderId="1" xfId="0" applyFont="1" applyFill="1" applyBorder="1" applyAlignment="1" applyProtection="1">
      <alignment horizontal="center" vertical="center"/>
      <protection hidden="1"/>
    </xf>
    <xf numFmtId="171" fontId="28" fillId="23" borderId="1" xfId="0" applyNumberFormat="1" applyFont="1" applyFill="1" applyBorder="1" applyAlignment="1" applyProtection="1">
      <alignment horizontal="center" vertical="center"/>
      <protection hidden="1"/>
    </xf>
    <xf numFmtId="171" fontId="28" fillId="23" borderId="40" xfId="0" applyNumberFormat="1" applyFont="1" applyFill="1" applyBorder="1" applyAlignment="1" applyProtection="1">
      <alignment horizontal="center" vertical="center"/>
      <protection hidden="1"/>
    </xf>
    <xf numFmtId="0" fontId="28" fillId="23" borderId="7" xfId="0" applyFont="1" applyFill="1" applyBorder="1" applyAlignment="1" applyProtection="1">
      <alignment horizontal="center" vertical="center"/>
      <protection hidden="1"/>
    </xf>
    <xf numFmtId="0" fontId="28" fillId="23" borderId="8" xfId="0" applyFont="1" applyFill="1" applyBorder="1" applyAlignment="1" applyProtection="1">
      <alignment horizontal="center" vertical="center"/>
      <protection hidden="1"/>
    </xf>
    <xf numFmtId="0" fontId="28" fillId="23" borderId="12" xfId="0" applyFont="1" applyFill="1" applyBorder="1" applyAlignment="1" applyProtection="1">
      <alignment horizontal="center" vertical="center"/>
      <protection hidden="1"/>
    </xf>
    <xf numFmtId="0" fontId="28" fillId="23" borderId="4" xfId="0" applyFont="1" applyFill="1" applyBorder="1" applyAlignment="1" applyProtection="1">
      <alignment horizontal="center" vertical="center"/>
      <protection hidden="1"/>
    </xf>
    <xf numFmtId="0" fontId="28" fillId="23" borderId="37" xfId="0" applyFont="1" applyFill="1" applyBorder="1" applyAlignment="1" applyProtection="1">
      <alignment horizontal="center" vertical="center"/>
      <protection hidden="1"/>
    </xf>
    <xf numFmtId="0" fontId="28" fillId="23" borderId="40" xfId="0" applyFont="1" applyFill="1" applyBorder="1" applyAlignment="1" applyProtection="1">
      <alignment horizontal="center" vertical="center"/>
      <protection hidden="1"/>
    </xf>
    <xf numFmtId="2" fontId="28" fillId="23" borderId="5" xfId="0" applyNumberFormat="1" applyFont="1" applyFill="1" applyBorder="1" applyAlignment="1" applyProtection="1">
      <alignment horizontal="center" vertical="center"/>
      <protection hidden="1"/>
    </xf>
    <xf numFmtId="2" fontId="28" fillId="23" borderId="1" xfId="0" applyNumberFormat="1" applyFont="1" applyFill="1" applyBorder="1" applyAlignment="1" applyProtection="1">
      <alignment horizontal="center" vertical="center"/>
      <protection hidden="1"/>
    </xf>
    <xf numFmtId="2" fontId="28" fillId="23" borderId="8" xfId="0" applyNumberFormat="1" applyFont="1" applyFill="1" applyBorder="1" applyAlignment="1" applyProtection="1">
      <alignment horizontal="center" vertical="center"/>
      <protection hidden="1"/>
    </xf>
    <xf numFmtId="176" fontId="28" fillId="23" borderId="5" xfId="0" applyNumberFormat="1" applyFont="1" applyFill="1" applyBorder="1" applyAlignment="1" applyProtection="1">
      <alignment horizontal="center" vertical="center" wrapText="1"/>
      <protection hidden="1"/>
    </xf>
    <xf numFmtId="176" fontId="28" fillId="23" borderId="37" xfId="0" applyNumberFormat="1" applyFont="1" applyFill="1" applyBorder="1" applyAlignment="1" applyProtection="1">
      <alignment horizontal="center" vertical="center" wrapText="1"/>
      <protection hidden="1"/>
    </xf>
    <xf numFmtId="176" fontId="28" fillId="23" borderId="1" xfId="0" applyNumberFormat="1" applyFont="1" applyFill="1" applyBorder="1" applyAlignment="1" applyProtection="1">
      <alignment horizontal="center" vertical="center" wrapText="1"/>
      <protection hidden="1"/>
    </xf>
    <xf numFmtId="176" fontId="28" fillId="23" borderId="40" xfId="0" applyNumberFormat="1" applyFont="1" applyFill="1" applyBorder="1" applyAlignment="1" applyProtection="1">
      <alignment horizontal="center" vertical="center" wrapText="1"/>
      <protection hidden="1"/>
    </xf>
    <xf numFmtId="176" fontId="28" fillId="23" borderId="8" xfId="0" applyNumberFormat="1" applyFont="1" applyFill="1" applyBorder="1" applyAlignment="1" applyProtection="1">
      <alignment horizontal="center" vertical="center" wrapText="1"/>
      <protection hidden="1"/>
    </xf>
    <xf numFmtId="176" fontId="28" fillId="23" borderId="12" xfId="0" applyNumberFormat="1" applyFont="1" applyFill="1" applyBorder="1" applyAlignment="1" applyProtection="1">
      <alignment horizontal="center" vertical="center" wrapText="1"/>
      <protection hidden="1"/>
    </xf>
    <xf numFmtId="4" fontId="28" fillId="23" borderId="5" xfId="0" applyNumberFormat="1" applyFont="1" applyFill="1" applyBorder="1" applyAlignment="1" applyProtection="1">
      <alignment horizontal="center" vertical="center" wrapText="1"/>
      <protection hidden="1"/>
    </xf>
    <xf numFmtId="177" fontId="28" fillId="23" borderId="37" xfId="0" applyNumberFormat="1" applyFont="1" applyFill="1" applyBorder="1" applyAlignment="1" applyProtection="1">
      <alignment horizontal="center" vertical="center" wrapText="1"/>
      <protection hidden="1"/>
    </xf>
    <xf numFmtId="4" fontId="28" fillId="23" borderId="1" xfId="0" applyNumberFormat="1" applyFont="1" applyFill="1" applyBorder="1" applyAlignment="1" applyProtection="1">
      <alignment horizontal="center" vertical="center" wrapText="1"/>
      <protection hidden="1"/>
    </xf>
    <xf numFmtId="4" fontId="28" fillId="23" borderId="8" xfId="0" applyNumberFormat="1" applyFont="1" applyFill="1" applyBorder="1" applyAlignment="1" applyProtection="1">
      <alignment horizontal="center" vertical="center" wrapText="1"/>
      <protection hidden="1"/>
    </xf>
    <xf numFmtId="0" fontId="28" fillId="23" borderId="20" xfId="0" applyFont="1" applyFill="1" applyBorder="1" applyAlignment="1" applyProtection="1">
      <alignment horizontal="center" vertical="center"/>
      <protection hidden="1"/>
    </xf>
    <xf numFmtId="171" fontId="28" fillId="23" borderId="20" xfId="0" applyNumberFormat="1" applyFont="1" applyFill="1" applyBorder="1" applyAlignment="1" applyProtection="1">
      <alignment horizontal="center" vertical="center"/>
      <protection hidden="1"/>
    </xf>
    <xf numFmtId="171" fontId="28" fillId="23" borderId="7" xfId="0" applyNumberFormat="1" applyFont="1" applyFill="1" applyBorder="1" applyAlignment="1" applyProtection="1">
      <alignment horizontal="center" vertical="center"/>
      <protection hidden="1"/>
    </xf>
    <xf numFmtId="0" fontId="28" fillId="23" borderId="47" xfId="0" applyFont="1" applyFill="1" applyBorder="1" applyAlignment="1" applyProtection="1">
      <alignment horizontal="center" vertical="center"/>
      <protection hidden="1"/>
    </xf>
    <xf numFmtId="171" fontId="28" fillId="23" borderId="47" xfId="0" applyNumberFormat="1" applyFont="1" applyFill="1" applyBorder="1" applyAlignment="1" applyProtection="1">
      <alignment horizontal="center" vertical="center"/>
      <protection hidden="1"/>
    </xf>
    <xf numFmtId="171" fontId="28" fillId="23" borderId="39" xfId="0" applyNumberFormat="1" applyFont="1" applyFill="1" applyBorder="1" applyAlignment="1" applyProtection="1">
      <alignment horizontal="center" vertical="center"/>
      <protection hidden="1"/>
    </xf>
    <xf numFmtId="164" fontId="28" fillId="23" borderId="5" xfId="0" applyNumberFormat="1" applyFont="1" applyFill="1" applyBorder="1" applyAlignment="1" applyProtection="1">
      <alignment horizontal="center" vertical="center"/>
      <protection hidden="1"/>
    </xf>
    <xf numFmtId="171" fontId="28" fillId="23" borderId="37" xfId="0" applyNumberFormat="1" applyFont="1" applyFill="1" applyBorder="1" applyAlignment="1" applyProtection="1">
      <alignment horizontal="center" vertical="center" wrapText="1"/>
      <protection hidden="1"/>
    </xf>
    <xf numFmtId="171" fontId="28" fillId="23" borderId="40" xfId="0" applyNumberFormat="1" applyFont="1" applyFill="1" applyBorder="1" applyAlignment="1" applyProtection="1">
      <alignment horizontal="center" vertical="center" wrapText="1"/>
      <protection hidden="1"/>
    </xf>
    <xf numFmtId="171" fontId="28" fillId="23" borderId="8" xfId="0" applyNumberFormat="1" applyFont="1" applyFill="1" applyBorder="1" applyAlignment="1" applyProtection="1">
      <alignment horizontal="center" vertical="center"/>
      <protection hidden="1"/>
    </xf>
    <xf numFmtId="171" fontId="28" fillId="23" borderId="12" xfId="0" applyNumberFormat="1" applyFont="1" applyFill="1" applyBorder="1" applyAlignment="1" applyProtection="1">
      <alignment horizontal="center" vertical="center" wrapText="1"/>
      <protection hidden="1"/>
    </xf>
    <xf numFmtId="0" fontId="28" fillId="23" borderId="40" xfId="0" applyFont="1" applyFill="1" applyBorder="1" applyAlignment="1" applyProtection="1">
      <alignment horizontal="center" vertical="center" wrapText="1"/>
      <protection hidden="1"/>
    </xf>
    <xf numFmtId="0" fontId="28" fillId="23" borderId="12" xfId="0" applyFont="1" applyFill="1" applyBorder="1" applyAlignment="1" applyProtection="1">
      <alignment horizontal="center" vertical="center" wrapText="1"/>
      <protection hidden="1"/>
    </xf>
    <xf numFmtId="0" fontId="28" fillId="23" borderId="1" xfId="0" applyFont="1" applyFill="1" applyBorder="1" applyAlignment="1" applyProtection="1">
      <alignment horizontal="center" vertical="center" wrapText="1"/>
      <protection locked="0" hidden="1"/>
    </xf>
    <xf numFmtId="0" fontId="28" fillId="23" borderId="1" xfId="0" applyFont="1" applyFill="1" applyBorder="1" applyAlignment="1" applyProtection="1">
      <alignment horizontal="center" vertical="center"/>
      <protection locked="0" hidden="1"/>
    </xf>
    <xf numFmtId="168" fontId="28" fillId="23" borderId="1" xfId="0" applyNumberFormat="1" applyFont="1" applyFill="1" applyBorder="1" applyAlignment="1" applyProtection="1">
      <alignment horizontal="center" vertical="center"/>
      <protection locked="0" hidden="1"/>
    </xf>
    <xf numFmtId="14" fontId="28" fillId="2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3" borderId="4" xfId="0" applyNumberFormat="1" applyFont="1" applyFill="1" applyBorder="1" applyAlignment="1" applyProtection="1">
      <alignment horizontal="center" vertical="center"/>
      <protection hidden="1"/>
    </xf>
    <xf numFmtId="0" fontId="29" fillId="23" borderId="5" xfId="0" applyFont="1" applyFill="1" applyBorder="1" applyAlignment="1" applyProtection="1">
      <alignment horizontal="center" vertical="center"/>
      <protection hidden="1"/>
    </xf>
    <xf numFmtId="3" fontId="29" fillId="23" borderId="5" xfId="0" applyNumberFormat="1" applyFont="1" applyFill="1" applyBorder="1" applyAlignment="1" applyProtection="1">
      <alignment horizontal="center" vertical="center" wrapText="1"/>
      <protection hidden="1"/>
    </xf>
    <xf numFmtId="3" fontId="29" fillId="23" borderId="39" xfId="0" applyNumberFormat="1" applyFont="1" applyFill="1" applyBorder="1" applyAlignment="1" applyProtection="1">
      <alignment horizontal="center" vertical="center"/>
      <protection hidden="1"/>
    </xf>
    <xf numFmtId="0" fontId="29" fillId="23" borderId="1" xfId="0" applyFont="1" applyFill="1" applyBorder="1" applyAlignment="1" applyProtection="1">
      <alignment horizontal="center" vertical="center"/>
      <protection hidden="1"/>
    </xf>
    <xf numFmtId="3" fontId="29" fillId="23" borderId="1" xfId="0" applyNumberFormat="1" applyFont="1" applyFill="1" applyBorder="1" applyAlignment="1" applyProtection="1">
      <alignment horizontal="center" vertical="center" wrapText="1"/>
      <protection hidden="1"/>
    </xf>
    <xf numFmtId="2" fontId="29" fillId="23" borderId="1" xfId="0" applyNumberFormat="1" applyFont="1" applyFill="1" applyBorder="1" applyAlignment="1" applyProtection="1">
      <alignment horizontal="center" vertical="center" wrapText="1"/>
      <protection hidden="1"/>
    </xf>
    <xf numFmtId="3" fontId="29" fillId="23" borderId="7" xfId="0" applyNumberFormat="1" applyFont="1" applyFill="1" applyBorder="1" applyAlignment="1" applyProtection="1">
      <alignment horizontal="center" vertical="center"/>
      <protection hidden="1"/>
    </xf>
    <xf numFmtId="0" fontId="29" fillId="23" borderId="8" xfId="0" applyFont="1" applyFill="1" applyBorder="1" applyAlignment="1" applyProtection="1">
      <alignment horizontal="center" vertical="center"/>
      <protection hidden="1"/>
    </xf>
    <xf numFmtId="3" fontId="29" fillId="23" borderId="8" xfId="0" applyNumberFormat="1" applyFont="1" applyFill="1" applyBorder="1" applyAlignment="1" applyProtection="1">
      <alignment horizontal="center" vertical="center"/>
      <protection hidden="1"/>
    </xf>
    <xf numFmtId="0" fontId="38" fillId="12" borderId="9" xfId="0" applyFont="1" applyFill="1" applyBorder="1" applyAlignment="1">
      <alignment horizontal="center" vertical="center" wrapText="1"/>
    </xf>
    <xf numFmtId="0" fontId="38" fillId="12" borderId="10" xfId="0" applyFont="1" applyFill="1" applyBorder="1" applyAlignment="1">
      <alignment horizontal="center" vertical="center" wrapText="1"/>
    </xf>
    <xf numFmtId="0" fontId="38" fillId="12" borderId="11" xfId="0" applyFont="1" applyFill="1" applyBorder="1" applyAlignment="1">
      <alignment horizontal="center" vertical="center" wrapText="1"/>
    </xf>
    <xf numFmtId="0" fontId="29" fillId="0" borderId="26" xfId="0" applyFont="1" applyBorder="1" applyAlignment="1" applyProtection="1">
      <alignment horizontal="center" vertical="center"/>
      <protection hidden="1"/>
    </xf>
    <xf numFmtId="0" fontId="29" fillId="0" borderId="26" xfId="0" applyFont="1" applyBorder="1" applyProtection="1">
      <protection hidden="1"/>
    </xf>
    <xf numFmtId="0" fontId="38" fillId="12" borderId="9" xfId="0" applyFont="1" applyFill="1" applyBorder="1" applyAlignment="1" applyProtection="1">
      <alignment horizontal="center" vertical="center"/>
      <protection hidden="1"/>
    </xf>
    <xf numFmtId="0" fontId="38" fillId="12" borderId="10" xfId="0" applyFont="1" applyFill="1" applyBorder="1" applyAlignment="1" applyProtection="1">
      <alignment horizontal="center" vertical="center"/>
      <protection hidden="1"/>
    </xf>
    <xf numFmtId="0" fontId="38" fillId="12" borderId="10" xfId="0" applyFont="1" applyFill="1" applyBorder="1" applyAlignment="1" applyProtection="1">
      <alignment horizontal="center" vertical="center" wrapText="1"/>
      <protection hidden="1"/>
    </xf>
    <xf numFmtId="0" fontId="29" fillId="23" borderId="5" xfId="0" applyFont="1" applyFill="1" applyBorder="1" applyAlignment="1" applyProtection="1">
      <alignment horizontal="center" vertical="center" wrapText="1"/>
      <protection hidden="1"/>
    </xf>
    <xf numFmtId="0" fontId="29" fillId="23" borderId="1" xfId="0" applyFont="1" applyFill="1" applyBorder="1" applyAlignment="1" applyProtection="1">
      <alignment horizontal="center" vertical="center" wrapText="1"/>
      <protection hidden="1"/>
    </xf>
    <xf numFmtId="0" fontId="29" fillId="23" borderId="8" xfId="0" applyFont="1" applyFill="1" applyBorder="1" applyAlignment="1" applyProtection="1">
      <alignment horizontal="center" vertical="center" wrapText="1"/>
      <protection hidden="1"/>
    </xf>
    <xf numFmtId="171" fontId="29" fillId="23" borderId="5" xfId="0" applyNumberFormat="1" applyFont="1" applyFill="1" applyBorder="1" applyAlignment="1" applyProtection="1">
      <alignment horizontal="center" vertical="center" wrapText="1"/>
      <protection hidden="1"/>
    </xf>
    <xf numFmtId="171" fontId="29" fillId="23" borderId="1" xfId="0" applyNumberFormat="1" applyFont="1" applyFill="1" applyBorder="1" applyAlignment="1" applyProtection="1">
      <alignment horizontal="center" vertical="center" wrapText="1"/>
      <protection hidden="1"/>
    </xf>
    <xf numFmtId="171" fontId="29" fillId="23" borderId="8" xfId="0" applyNumberFormat="1" applyFont="1" applyFill="1" applyBorder="1" applyAlignment="1" applyProtection="1">
      <alignment horizontal="center" vertical="center" wrapText="1"/>
      <protection hidden="1"/>
    </xf>
    <xf numFmtId="164" fontId="29" fillId="23" borderId="5" xfId="0" applyNumberFormat="1" applyFont="1" applyFill="1" applyBorder="1" applyAlignment="1" applyProtection="1">
      <alignment horizontal="center" vertical="center"/>
      <protection hidden="1"/>
    </xf>
    <xf numFmtId="164" fontId="29" fillId="23" borderId="1" xfId="0" applyNumberFormat="1" applyFont="1" applyFill="1" applyBorder="1" applyAlignment="1" applyProtection="1">
      <alignment horizontal="center" vertical="center"/>
      <protection hidden="1"/>
    </xf>
    <xf numFmtId="164" fontId="29" fillId="23" borderId="8" xfId="0" applyNumberFormat="1" applyFont="1" applyFill="1" applyBorder="1" applyAlignment="1" applyProtection="1">
      <alignment horizontal="center" vertical="center"/>
      <protection hidden="1"/>
    </xf>
    <xf numFmtId="164" fontId="29" fillId="23" borderId="5" xfId="0" applyNumberFormat="1" applyFont="1" applyFill="1" applyBorder="1" applyAlignment="1">
      <alignment horizontal="center" vertical="center" wrapText="1"/>
    </xf>
    <xf numFmtId="164" fontId="29" fillId="23" borderId="1" xfId="0" applyNumberFormat="1" applyFont="1" applyFill="1" applyBorder="1" applyAlignment="1">
      <alignment horizontal="center" vertical="center" wrapText="1"/>
    </xf>
    <xf numFmtId="164" fontId="29" fillId="23" borderId="8" xfId="0" applyNumberFormat="1" applyFont="1" applyFill="1" applyBorder="1" applyAlignment="1">
      <alignment horizontal="center" vertical="center" wrapText="1"/>
    </xf>
    <xf numFmtId="164" fontId="29" fillId="23" borderId="1" xfId="0" applyNumberFormat="1" applyFont="1" applyFill="1" applyBorder="1" applyAlignment="1">
      <alignment horizontal="center" vertical="center"/>
    </xf>
    <xf numFmtId="164" fontId="29" fillId="23" borderId="37" xfId="0" applyNumberFormat="1" applyFont="1" applyFill="1" applyBorder="1" applyAlignment="1">
      <alignment horizontal="center" vertical="center" wrapText="1"/>
    </xf>
    <xf numFmtId="164" fontId="29" fillId="23" borderId="40" xfId="0" applyNumberFormat="1" applyFont="1" applyFill="1" applyBorder="1" applyAlignment="1">
      <alignment horizontal="center" vertical="center" wrapText="1"/>
    </xf>
    <xf numFmtId="164" fontId="29" fillId="23" borderId="40" xfId="0" applyNumberFormat="1" applyFont="1" applyFill="1" applyBorder="1" applyAlignment="1">
      <alignment horizontal="center" vertical="center"/>
    </xf>
    <xf numFmtId="164" fontId="29" fillId="23" borderId="12" xfId="0" applyNumberFormat="1" applyFont="1" applyFill="1" applyBorder="1" applyAlignment="1">
      <alignment horizontal="center" vertical="center" wrapText="1"/>
    </xf>
    <xf numFmtId="0" fontId="29" fillId="0" borderId="51" xfId="0" applyFont="1" applyBorder="1" applyAlignment="1" applyProtection="1">
      <alignment horizontal="center" vertical="center"/>
      <protection hidden="1"/>
    </xf>
    <xf numFmtId="0" fontId="29" fillId="0" borderId="50" xfId="0" applyFont="1" applyBorder="1" applyAlignment="1" applyProtection="1">
      <alignment horizontal="center" vertical="center"/>
      <protection hidden="1"/>
    </xf>
    <xf numFmtId="168" fontId="29" fillId="23" borderId="1" xfId="0" applyNumberFormat="1" applyFont="1" applyFill="1" applyBorder="1" applyAlignment="1" applyProtection="1">
      <alignment horizontal="center" vertical="center"/>
      <protection hidden="1"/>
    </xf>
    <xf numFmtId="168" fontId="29" fillId="23" borderId="5" xfId="0" applyNumberFormat="1" applyFont="1" applyFill="1" applyBorder="1" applyAlignment="1" applyProtection="1">
      <alignment horizontal="center" vertical="center"/>
      <protection hidden="1"/>
    </xf>
    <xf numFmtId="168" fontId="29" fillId="23" borderId="8" xfId="0" applyNumberFormat="1" applyFont="1" applyFill="1" applyBorder="1" applyAlignment="1" applyProtection="1">
      <alignment horizontal="center" vertical="center"/>
      <protection hidden="1"/>
    </xf>
    <xf numFmtId="171" fontId="29" fillId="23" borderId="1" xfId="0" applyNumberFormat="1" applyFont="1" applyFill="1" applyBorder="1" applyAlignment="1" applyProtection="1">
      <alignment horizontal="center" vertical="center"/>
      <protection hidden="1"/>
    </xf>
    <xf numFmtId="165" fontId="29" fillId="23" borderId="1" xfId="0" applyNumberFormat="1" applyFont="1" applyFill="1" applyBorder="1" applyAlignment="1" applyProtection="1">
      <alignment horizontal="center" vertical="center"/>
      <protection hidden="1"/>
    </xf>
    <xf numFmtId="0" fontId="29" fillId="0" borderId="20" xfId="0" applyFont="1" applyBorder="1" applyAlignment="1" applyProtection="1">
      <alignment horizontal="center" vertical="center"/>
      <protection hidden="1"/>
    </xf>
    <xf numFmtId="0" fontId="29" fillId="23" borderId="20" xfId="0" applyFont="1" applyFill="1" applyBorder="1" applyAlignment="1" applyProtection="1">
      <alignment horizontal="center" vertical="center"/>
      <protection hidden="1"/>
    </xf>
    <xf numFmtId="168" fontId="29" fillId="23" borderId="20" xfId="0" applyNumberFormat="1" applyFont="1" applyFill="1" applyBorder="1" applyAlignment="1" applyProtection="1">
      <alignment horizontal="center" vertical="center"/>
      <protection hidden="1"/>
    </xf>
    <xf numFmtId="169" fontId="29" fillId="0" borderId="20" xfId="0" applyNumberFormat="1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center" vertical="center"/>
      <protection hidden="1"/>
    </xf>
    <xf numFmtId="179" fontId="29" fillId="0" borderId="8" xfId="0" applyNumberFormat="1" applyFont="1" applyBorder="1" applyAlignment="1" applyProtection="1">
      <alignment horizontal="center" vertical="center"/>
      <protection hidden="1"/>
    </xf>
    <xf numFmtId="0" fontId="29" fillId="0" borderId="31" xfId="0" applyFont="1" applyBorder="1" applyAlignment="1" applyProtection="1">
      <alignment horizontal="center" vertical="center"/>
      <protection hidden="1"/>
    </xf>
    <xf numFmtId="0" fontId="29" fillId="23" borderId="31" xfId="0" applyFont="1" applyFill="1" applyBorder="1" applyAlignment="1" applyProtection="1">
      <alignment horizontal="center" vertical="center"/>
      <protection hidden="1"/>
    </xf>
    <xf numFmtId="0" fontId="30" fillId="0" borderId="31" xfId="0" applyFont="1" applyBorder="1" applyAlignment="1" applyProtection="1">
      <alignment horizontal="center" vertical="center"/>
      <protection hidden="1"/>
    </xf>
    <xf numFmtId="166" fontId="29" fillId="0" borderId="20" xfId="0" applyNumberFormat="1" applyFont="1" applyBorder="1" applyAlignment="1" applyProtection="1">
      <alignment horizontal="center" vertical="center"/>
      <protection hidden="1"/>
    </xf>
    <xf numFmtId="166" fontId="29" fillId="0" borderId="31" xfId="0" applyNumberFormat="1" applyFont="1" applyBorder="1" applyAlignment="1" applyProtection="1">
      <alignment horizontal="center" vertical="center"/>
      <protection hidden="1"/>
    </xf>
    <xf numFmtId="166" fontId="29" fillId="0" borderId="8" xfId="0" applyNumberFormat="1" applyFont="1" applyBorder="1" applyAlignment="1" applyProtection="1">
      <alignment horizontal="center" vertical="center"/>
      <protection hidden="1"/>
    </xf>
    <xf numFmtId="2" fontId="29" fillId="23" borderId="5" xfId="0" applyNumberFormat="1" applyFont="1" applyFill="1" applyBorder="1" applyAlignment="1" applyProtection="1">
      <alignment horizontal="center" vertical="center"/>
      <protection hidden="1"/>
    </xf>
    <xf numFmtId="2" fontId="29" fillId="23" borderId="1" xfId="0" applyNumberFormat="1" applyFont="1" applyFill="1" applyBorder="1" applyAlignment="1" applyProtection="1">
      <alignment horizontal="center" vertical="center"/>
      <protection hidden="1"/>
    </xf>
    <xf numFmtId="180" fontId="29" fillId="0" borderId="37" xfId="0" applyNumberFormat="1" applyFont="1" applyBorder="1" applyAlignment="1" applyProtection="1">
      <alignment horizontal="center" vertical="center"/>
      <protection hidden="1"/>
    </xf>
    <xf numFmtId="180" fontId="29" fillId="0" borderId="12" xfId="0" applyNumberFormat="1" applyFont="1" applyBorder="1" applyAlignment="1" applyProtection="1">
      <alignment horizontal="center" vertical="center"/>
      <protection hidden="1"/>
    </xf>
    <xf numFmtId="165" fontId="29" fillId="23" borderId="5" xfId="0" applyNumberFormat="1" applyFont="1" applyFill="1" applyBorder="1" applyAlignment="1" applyProtection="1">
      <alignment horizontal="center" vertical="center"/>
      <protection hidden="1"/>
    </xf>
    <xf numFmtId="165" fontId="29" fillId="23" borderId="8" xfId="0" applyNumberFormat="1" applyFont="1" applyFill="1" applyBorder="1" applyAlignment="1" applyProtection="1">
      <alignment horizontal="center" vertical="center"/>
      <protection hidden="1"/>
    </xf>
    <xf numFmtId="2" fontId="8" fillId="9" borderId="1" xfId="0" applyNumberFormat="1" applyFont="1" applyFill="1" applyBorder="1" applyAlignment="1" applyProtection="1">
      <alignment horizontal="center" vertical="center"/>
      <protection hidden="1"/>
    </xf>
    <xf numFmtId="2" fontId="8" fillId="9" borderId="8" xfId="0" applyNumberFormat="1" applyFont="1" applyFill="1" applyBorder="1" applyAlignment="1" applyProtection="1">
      <alignment horizontal="center" vertical="center"/>
      <protection hidden="1"/>
    </xf>
    <xf numFmtId="2" fontId="8" fillId="6" borderId="15" xfId="0" applyNumberFormat="1" applyFont="1" applyFill="1" applyBorder="1" applyAlignment="1" applyProtection="1">
      <alignment horizontal="center" vertical="center"/>
      <protection hidden="1"/>
    </xf>
    <xf numFmtId="165" fontId="29" fillId="23" borderId="20" xfId="0" applyNumberFormat="1" applyFont="1" applyFill="1" applyBorder="1" applyAlignment="1" applyProtection="1">
      <alignment horizontal="center" vertical="center"/>
      <protection hidden="1"/>
    </xf>
    <xf numFmtId="169" fontId="29" fillId="23" borderId="5" xfId="0" applyNumberFormat="1" applyFont="1" applyFill="1" applyBorder="1" applyAlignment="1" applyProtection="1">
      <alignment horizontal="center" vertical="center"/>
      <protection hidden="1"/>
    </xf>
    <xf numFmtId="169" fontId="29" fillId="23" borderId="1" xfId="0" applyNumberFormat="1" applyFont="1" applyFill="1" applyBorder="1" applyAlignment="1" applyProtection="1">
      <alignment horizontal="center" vertical="center"/>
      <protection hidden="1"/>
    </xf>
    <xf numFmtId="169" fontId="29" fillId="23" borderId="8" xfId="0" applyNumberFormat="1" applyFont="1" applyFill="1" applyBorder="1" applyAlignment="1" applyProtection="1">
      <alignment horizontal="center" vertical="center"/>
      <protection hidden="1"/>
    </xf>
    <xf numFmtId="11" fontId="29" fillId="23" borderId="20" xfId="0" applyNumberFormat="1" applyFont="1" applyFill="1" applyBorder="1" applyAlignment="1" applyProtection="1">
      <alignment horizontal="center" vertical="center"/>
      <protection hidden="1"/>
    </xf>
    <xf numFmtId="169" fontId="29" fillId="23" borderId="31" xfId="0" applyNumberFormat="1" applyFont="1" applyFill="1" applyBorder="1" applyAlignment="1" applyProtection="1">
      <alignment horizontal="center" vertical="center"/>
      <protection hidden="1"/>
    </xf>
    <xf numFmtId="180" fontId="29" fillId="0" borderId="31" xfId="0" applyNumberFormat="1" applyFont="1" applyBorder="1" applyAlignment="1" applyProtection="1">
      <alignment horizontal="center" vertical="center"/>
      <protection hidden="1"/>
    </xf>
    <xf numFmtId="168" fontId="29" fillId="23" borderId="1" xfId="0" quotePrefix="1" applyNumberFormat="1" applyFont="1" applyFill="1" applyBorder="1" applyAlignment="1" applyProtection="1">
      <alignment horizontal="center" vertical="center"/>
      <protection hidden="1"/>
    </xf>
    <xf numFmtId="0" fontId="29" fillId="0" borderId="5" xfId="0" applyFont="1" applyBorder="1" applyProtection="1">
      <protection hidden="1"/>
    </xf>
    <xf numFmtId="0" fontId="29" fillId="0" borderId="37" xfId="0" applyFont="1" applyBorder="1" applyProtection="1">
      <protection hidden="1"/>
    </xf>
    <xf numFmtId="0" fontId="29" fillId="0" borderId="40" xfId="4" applyFont="1" applyFill="1" applyBorder="1" applyProtection="1">
      <alignment horizontal="center" vertical="center"/>
      <protection hidden="1"/>
    </xf>
    <xf numFmtId="180" fontId="29" fillId="0" borderId="40" xfId="0" applyNumberFormat="1" applyFont="1" applyBorder="1" applyAlignment="1" applyProtection="1">
      <alignment horizontal="center" vertical="center"/>
      <protection hidden="1"/>
    </xf>
    <xf numFmtId="2" fontId="10" fillId="9" borderId="48" xfId="0" applyNumberFormat="1" applyFont="1" applyFill="1" applyBorder="1" applyAlignment="1" applyProtection="1">
      <alignment horizontal="center" vertical="center"/>
      <protection hidden="1"/>
    </xf>
    <xf numFmtId="167" fontId="9" fillId="9" borderId="46" xfId="0" applyNumberFormat="1" applyFont="1" applyFill="1" applyBorder="1" applyAlignment="1" applyProtection="1">
      <alignment horizontal="center" vertical="center"/>
      <protection hidden="1"/>
    </xf>
    <xf numFmtId="167" fontId="9" fillId="9" borderId="47" xfId="0" applyNumberFormat="1" applyFont="1" applyFill="1" applyBorder="1" applyAlignment="1" applyProtection="1">
      <alignment horizontal="center" vertical="center"/>
      <protection hidden="1"/>
    </xf>
    <xf numFmtId="165" fontId="9" fillId="9" borderId="48" xfId="0" applyNumberFormat="1" applyFont="1" applyFill="1" applyBorder="1" applyAlignment="1" applyProtection="1">
      <alignment horizontal="center" vertical="center"/>
      <protection hidden="1"/>
    </xf>
    <xf numFmtId="9" fontId="8" fillId="9" borderId="33" xfId="1" applyFont="1" applyFill="1" applyBorder="1" applyAlignment="1" applyProtection="1">
      <alignment horizontal="center" vertical="center"/>
      <protection hidden="1"/>
    </xf>
    <xf numFmtId="2" fontId="10" fillId="0" borderId="0" xfId="0" applyNumberFormat="1" applyFont="1" applyAlignment="1" applyProtection="1">
      <alignment horizontal="center" vertical="center"/>
      <protection hidden="1"/>
    </xf>
    <xf numFmtId="2" fontId="15" fillId="0" borderId="0" xfId="0" applyNumberFormat="1" applyFont="1" applyAlignment="1" applyProtection="1">
      <alignment horizontal="center" vertical="center"/>
      <protection hidden="1"/>
    </xf>
    <xf numFmtId="9" fontId="14" fillId="9" borderId="9" xfId="1" applyFont="1" applyFill="1" applyBorder="1" applyAlignment="1" applyProtection="1">
      <alignment horizontal="center" vertical="center"/>
      <protection hidden="1"/>
    </xf>
    <xf numFmtId="2" fontId="14" fillId="9" borderId="9" xfId="0" applyNumberFormat="1" applyFont="1" applyFill="1" applyBorder="1" applyAlignment="1" applyProtection="1">
      <alignment horizontal="center" vertical="center"/>
      <protection hidden="1"/>
    </xf>
    <xf numFmtId="2" fontId="14" fillId="9" borderId="11" xfId="0" applyNumberFormat="1" applyFont="1" applyFill="1" applyBorder="1" applyAlignment="1" applyProtection="1">
      <alignment horizontal="center" vertical="center"/>
      <protection hidden="1"/>
    </xf>
    <xf numFmtId="9" fontId="14" fillId="9" borderId="34" xfId="1" applyFont="1" applyFill="1" applyBorder="1" applyAlignment="1" applyProtection="1">
      <alignment horizontal="center" vertical="center"/>
      <protection hidden="1"/>
    </xf>
    <xf numFmtId="171" fontId="9" fillId="9" borderId="13" xfId="0" applyNumberFormat="1" applyFont="1" applyFill="1" applyBorder="1" applyAlignment="1" applyProtection="1">
      <alignment horizontal="center" vertical="center" wrapText="1"/>
      <protection hidden="1"/>
    </xf>
    <xf numFmtId="2" fontId="23" fillId="6" borderId="34" xfId="0" applyNumberFormat="1" applyFont="1" applyFill="1" applyBorder="1" applyAlignment="1" applyProtection="1">
      <alignment horizontal="center" vertical="center" wrapText="1"/>
      <protection hidden="1"/>
    </xf>
    <xf numFmtId="0" fontId="6" fillId="9" borderId="9" xfId="0" applyFont="1" applyFill="1" applyBorder="1" applyAlignment="1" applyProtection="1">
      <alignment horizontal="center" vertical="center" wrapText="1"/>
      <protection hidden="1"/>
    </xf>
    <xf numFmtId="0" fontId="6" fillId="9" borderId="11" xfId="0" applyFont="1" applyFill="1" applyBorder="1" applyAlignment="1" applyProtection="1">
      <alignment horizontal="center" vertical="center" wrapText="1"/>
      <protection hidden="1"/>
    </xf>
    <xf numFmtId="2" fontId="19" fillId="8" borderId="34" xfId="0" applyNumberFormat="1" applyFont="1" applyFill="1" applyBorder="1" applyAlignment="1" applyProtection="1">
      <alignment horizontal="center" vertical="center"/>
      <protection hidden="1"/>
    </xf>
    <xf numFmtId="171" fontId="39" fillId="6" borderId="3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49" xfId="0" applyFont="1" applyBorder="1" applyProtection="1">
      <protection hidden="1"/>
    </xf>
    <xf numFmtId="0" fontId="28" fillId="0" borderId="57" xfId="0" applyFont="1" applyBorder="1" applyProtection="1">
      <protection hidden="1"/>
    </xf>
    <xf numFmtId="0" fontId="29" fillId="6" borderId="4" xfId="0" applyFont="1" applyFill="1" applyBorder="1" applyAlignment="1" applyProtection="1">
      <alignment horizontal="center" vertical="center"/>
      <protection hidden="1"/>
    </xf>
    <xf numFmtId="0" fontId="29" fillId="23" borderId="5" xfId="0" applyFont="1" applyFill="1" applyBorder="1" applyAlignment="1" applyProtection="1">
      <alignment horizontal="center" vertical="center" wrapText="1"/>
      <protection locked="0" hidden="1"/>
    </xf>
    <xf numFmtId="0" fontId="29" fillId="6" borderId="7" xfId="0" applyFont="1" applyFill="1" applyBorder="1" applyAlignment="1" applyProtection="1">
      <alignment horizontal="center" vertical="center"/>
      <protection hidden="1"/>
    </xf>
    <xf numFmtId="184" fontId="29" fillId="23" borderId="5" xfId="0" applyNumberFormat="1" applyFont="1" applyFill="1" applyBorder="1" applyAlignment="1" applyProtection="1">
      <alignment horizontal="center" vertical="center" wrapText="1"/>
      <protection locked="0" hidden="1"/>
    </xf>
    <xf numFmtId="171" fontId="29" fillId="23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9" fillId="23" borderId="37" xfId="0" applyFont="1" applyFill="1" applyBorder="1" applyAlignment="1" applyProtection="1">
      <alignment horizontal="center" vertical="center" wrapText="1"/>
      <protection hidden="1"/>
    </xf>
    <xf numFmtId="171" fontId="29" fillId="23" borderId="8" xfId="0" applyNumberFormat="1" applyFont="1" applyFill="1" applyBorder="1" applyAlignment="1" applyProtection="1">
      <alignment horizontal="center" vertical="center"/>
      <protection hidden="1"/>
    </xf>
    <xf numFmtId="0" fontId="29" fillId="23" borderId="12" xfId="0" applyFont="1" applyFill="1" applyBorder="1" applyAlignment="1" applyProtection="1">
      <alignment horizontal="center" vertical="center"/>
      <protection hidden="1"/>
    </xf>
    <xf numFmtId="165" fontId="29" fillId="23" borderId="31" xfId="0" applyNumberFormat="1" applyFont="1" applyFill="1" applyBorder="1" applyAlignment="1" applyProtection="1">
      <alignment horizontal="center" vertical="center"/>
      <protection hidden="1"/>
    </xf>
    <xf numFmtId="180" fontId="29" fillId="0" borderId="42" xfId="0" applyNumberFormat="1" applyFont="1" applyBorder="1" applyAlignment="1" applyProtection="1">
      <alignment horizontal="center" vertical="center"/>
      <protection hidden="1"/>
    </xf>
    <xf numFmtId="1" fontId="29" fillId="0" borderId="1" xfId="0" applyNumberFormat="1" applyFont="1" applyBorder="1" applyAlignment="1" applyProtection="1">
      <alignment horizontal="center" vertical="center"/>
      <protection hidden="1"/>
    </xf>
    <xf numFmtId="0" fontId="28" fillId="0" borderId="4" xfId="0" applyFont="1" applyBorder="1" applyProtection="1">
      <protection hidden="1"/>
    </xf>
    <xf numFmtId="0" fontId="28" fillId="0" borderId="5" xfId="0" applyFont="1" applyBorder="1" applyProtection="1">
      <protection hidden="1"/>
    </xf>
    <xf numFmtId="20" fontId="8" fillId="4" borderId="10" xfId="0" applyNumberFormat="1" applyFont="1" applyFill="1" applyBorder="1" applyAlignment="1" applyProtection="1">
      <alignment horizontal="center" vertical="center"/>
      <protection locked="0" hidden="1"/>
    </xf>
    <xf numFmtId="174" fontId="28" fillId="0" borderId="4" xfId="0" applyNumberFormat="1" applyFont="1" applyBorder="1" applyAlignment="1" applyProtection="1">
      <alignment horizontal="center" vertical="center"/>
      <protection hidden="1"/>
    </xf>
    <xf numFmtId="174" fontId="28" fillId="0" borderId="5" xfId="0" applyNumberFormat="1" applyFont="1" applyBorder="1" applyAlignment="1" applyProtection="1">
      <alignment horizontal="center" vertical="center"/>
      <protection hidden="1"/>
    </xf>
    <xf numFmtId="178" fontId="28" fillId="0" borderId="7" xfId="0" applyNumberFormat="1" applyFont="1" applyBorder="1" applyAlignment="1" applyProtection="1">
      <alignment horizontal="center" vertical="center"/>
      <protection hidden="1"/>
    </xf>
    <xf numFmtId="0" fontId="28" fillId="0" borderId="8" xfId="0" applyFont="1" applyBorder="1" applyAlignment="1" applyProtection="1">
      <alignment horizontal="center" vertical="center"/>
      <protection hidden="1"/>
    </xf>
    <xf numFmtId="170" fontId="28" fillId="0" borderId="8" xfId="0" applyNumberFormat="1" applyFont="1" applyBorder="1" applyAlignment="1" applyProtection="1">
      <alignment horizontal="center" vertical="center"/>
      <protection hidden="1"/>
    </xf>
    <xf numFmtId="0" fontId="28" fillId="0" borderId="12" xfId="0" applyFont="1" applyBorder="1" applyAlignment="1" applyProtection="1">
      <alignment horizontal="center" vertical="center"/>
      <protection hidden="1"/>
    </xf>
    <xf numFmtId="0" fontId="44" fillId="12" borderId="4" xfId="0" applyFont="1" applyFill="1" applyBorder="1" applyAlignment="1" applyProtection="1">
      <alignment horizontal="center" vertical="center" wrapText="1"/>
      <protection hidden="1"/>
    </xf>
    <xf numFmtId="0" fontId="44" fillId="12" borderId="5" xfId="0" applyFont="1" applyFill="1" applyBorder="1" applyAlignment="1" applyProtection="1">
      <alignment horizontal="center" vertical="center" wrapText="1"/>
      <protection hidden="1"/>
    </xf>
    <xf numFmtId="0" fontId="44" fillId="12" borderId="37" xfId="0" applyFont="1" applyFill="1" applyBorder="1" applyAlignment="1" applyProtection="1">
      <alignment horizontal="center" vertical="center" wrapText="1"/>
      <protection hidden="1"/>
    </xf>
    <xf numFmtId="169" fontId="32" fillId="12" borderId="10" xfId="0" applyNumberFormat="1" applyFont="1" applyFill="1" applyBorder="1" applyAlignment="1" applyProtection="1">
      <alignment horizontal="center" vertical="center" wrapText="1"/>
      <protection hidden="1"/>
    </xf>
    <xf numFmtId="2" fontId="32" fillId="12" borderId="10" xfId="0" applyNumberFormat="1" applyFont="1" applyFill="1" applyBorder="1" applyAlignment="1" applyProtection="1">
      <alignment horizontal="center" vertical="center" wrapText="1"/>
      <protection hidden="1"/>
    </xf>
    <xf numFmtId="2" fontId="32" fillId="12" borderId="11" xfId="0" applyNumberFormat="1" applyFont="1" applyFill="1" applyBorder="1" applyAlignment="1" applyProtection="1">
      <alignment horizontal="center" vertical="center" wrapText="1"/>
      <protection hidden="1"/>
    </xf>
    <xf numFmtId="169" fontId="29" fillId="23" borderId="20" xfId="0" applyNumberFormat="1" applyFont="1" applyFill="1" applyBorder="1" applyAlignment="1" applyProtection="1">
      <alignment horizontal="center" vertical="center" wrapText="1"/>
      <protection hidden="1"/>
    </xf>
    <xf numFmtId="2" fontId="29" fillId="23" borderId="20" xfId="0" applyNumberFormat="1" applyFont="1" applyFill="1" applyBorder="1" applyAlignment="1" applyProtection="1">
      <alignment horizontal="center" vertical="center" wrapText="1"/>
      <protection hidden="1"/>
    </xf>
    <xf numFmtId="186" fontId="29" fillId="23" borderId="42" xfId="0" applyNumberFormat="1" applyFont="1" applyFill="1" applyBorder="1" applyAlignment="1" applyProtection="1">
      <alignment horizontal="center" vertical="center" wrapText="1"/>
      <protection hidden="1"/>
    </xf>
    <xf numFmtId="169" fontId="29" fillId="23" borderId="8" xfId="0" applyNumberFormat="1" applyFont="1" applyFill="1" applyBorder="1" applyAlignment="1" applyProtection="1">
      <alignment horizontal="center" vertical="center" wrapText="1"/>
      <protection hidden="1"/>
    </xf>
    <xf numFmtId="0" fontId="29" fillId="23" borderId="12" xfId="0" applyFont="1" applyFill="1" applyBorder="1" applyAlignment="1" applyProtection="1">
      <alignment horizontal="center" vertical="center" wrapText="1"/>
      <protection hidden="1"/>
    </xf>
    <xf numFmtId="0" fontId="29" fillId="23" borderId="41" xfId="0" applyFont="1" applyFill="1" applyBorder="1" applyAlignment="1" applyProtection="1">
      <alignment horizontal="center" vertical="center"/>
      <protection hidden="1"/>
    </xf>
    <xf numFmtId="0" fontId="29" fillId="23" borderId="7" xfId="0" applyFont="1" applyFill="1" applyBorder="1" applyAlignment="1" applyProtection="1">
      <alignment horizontal="center" vertical="center"/>
      <protection hidden="1"/>
    </xf>
    <xf numFmtId="0" fontId="29" fillId="23" borderId="39" xfId="0" applyFont="1" applyFill="1" applyBorder="1" applyAlignment="1" applyProtection="1">
      <alignment horizontal="center" vertical="center" wrapText="1"/>
      <protection hidden="1"/>
    </xf>
    <xf numFmtId="0" fontId="29" fillId="23" borderId="40" xfId="0" applyFont="1" applyFill="1" applyBorder="1" applyAlignment="1" applyProtection="1">
      <alignment horizontal="center" vertical="center" wrapText="1"/>
      <protection hidden="1"/>
    </xf>
    <xf numFmtId="0" fontId="29" fillId="23" borderId="7" xfId="0" applyFont="1" applyFill="1" applyBorder="1" applyAlignment="1" applyProtection="1">
      <alignment horizontal="center" vertical="center" wrapText="1"/>
      <protection hidden="1"/>
    </xf>
    <xf numFmtId="0" fontId="29" fillId="0" borderId="22" xfId="0" applyFont="1" applyBorder="1" applyProtection="1">
      <protection hidden="1"/>
    </xf>
    <xf numFmtId="0" fontId="29" fillId="0" borderId="30" xfId="0" applyFont="1" applyBorder="1" applyProtection="1">
      <protection hidden="1"/>
    </xf>
    <xf numFmtId="0" fontId="29" fillId="0" borderId="23" xfId="0" applyFont="1" applyBorder="1" applyProtection="1">
      <protection hidden="1"/>
    </xf>
    <xf numFmtId="0" fontId="29" fillId="0" borderId="24" xfId="0" applyFont="1" applyBorder="1" applyProtection="1">
      <protection hidden="1"/>
    </xf>
    <xf numFmtId="0" fontId="29" fillId="0" borderId="36" xfId="0" applyFont="1" applyBorder="1" applyProtection="1">
      <protection hidden="1"/>
    </xf>
    <xf numFmtId="0" fontId="29" fillId="0" borderId="36" xfId="0" applyFont="1" applyBorder="1" applyAlignment="1" applyProtection="1">
      <alignment horizontal="center" vertical="center"/>
      <protection hidden="1"/>
    </xf>
    <xf numFmtId="0" fontId="29" fillId="0" borderId="21" xfId="0" applyFont="1" applyBorder="1" applyProtection="1">
      <protection hidden="1"/>
    </xf>
    <xf numFmtId="0" fontId="29" fillId="0" borderId="38" xfId="0" applyFont="1" applyBorder="1" applyProtection="1">
      <protection hidden="1"/>
    </xf>
    <xf numFmtId="0" fontId="29" fillId="0" borderId="6" xfId="0" applyFont="1" applyBorder="1" applyProtection="1">
      <protection hidden="1"/>
    </xf>
    <xf numFmtId="0" fontId="38" fillId="12" borderId="9" xfId="0" applyFont="1" applyFill="1" applyBorder="1" applyAlignment="1" applyProtection="1">
      <alignment horizontal="center" vertical="center" wrapText="1"/>
      <protection hidden="1"/>
    </xf>
    <xf numFmtId="2" fontId="8" fillId="9" borderId="34" xfId="0" applyNumberFormat="1" applyFont="1" applyFill="1" applyBorder="1" applyAlignment="1" applyProtection="1">
      <alignment horizontal="center" vertical="center"/>
      <protection hidden="1"/>
    </xf>
    <xf numFmtId="1" fontId="9" fillId="9" borderId="9" xfId="0" applyNumberFormat="1" applyFont="1" applyFill="1" applyBorder="1" applyAlignment="1" applyProtection="1">
      <alignment horizontal="center" vertical="center"/>
      <protection hidden="1"/>
    </xf>
    <xf numFmtId="0" fontId="30" fillId="2" borderId="1" xfId="0" applyFont="1" applyFill="1" applyBorder="1" applyAlignment="1" applyProtection="1">
      <alignment horizontal="center" vertical="center"/>
      <protection hidden="1"/>
    </xf>
    <xf numFmtId="2" fontId="71" fillId="8" borderId="14" xfId="0" applyNumberFormat="1" applyFont="1" applyFill="1" applyBorder="1" applyAlignment="1">
      <alignment horizontal="center" vertical="center" wrapText="1"/>
    </xf>
    <xf numFmtId="2" fontId="71" fillId="8" borderId="34" xfId="0" applyNumberFormat="1" applyFont="1" applyFill="1" applyBorder="1" applyAlignment="1">
      <alignment horizontal="center" vertical="center" wrapText="1"/>
    </xf>
    <xf numFmtId="2" fontId="72" fillId="6" borderId="33" xfId="0" applyNumberFormat="1" applyFont="1" applyFill="1" applyBorder="1" applyAlignment="1">
      <alignment horizontal="center" vertical="center" wrapText="1"/>
    </xf>
    <xf numFmtId="2" fontId="74" fillId="6" borderId="33" xfId="0" applyNumberFormat="1" applyFont="1" applyFill="1" applyBorder="1" applyAlignment="1">
      <alignment horizontal="center" vertical="center"/>
    </xf>
    <xf numFmtId="2" fontId="72" fillId="6" borderId="33" xfId="0" applyNumberFormat="1" applyFont="1" applyFill="1" applyBorder="1" applyAlignment="1">
      <alignment horizontal="center" vertical="center"/>
    </xf>
    <xf numFmtId="2" fontId="75" fillId="6" borderId="33" xfId="0" applyNumberFormat="1" applyFont="1" applyFill="1" applyBorder="1" applyAlignment="1">
      <alignment horizontal="center" vertical="center" wrapText="1"/>
    </xf>
    <xf numFmtId="2" fontId="75" fillId="6" borderId="6" xfId="0" applyNumberFormat="1" applyFont="1" applyFill="1" applyBorder="1" applyAlignment="1">
      <alignment horizontal="center" vertical="center" wrapText="1"/>
    </xf>
    <xf numFmtId="2" fontId="17" fillId="6" borderId="6" xfId="0" applyNumberFormat="1" applyFont="1" applyFill="1" applyBorder="1" applyAlignment="1" applyProtection="1">
      <alignment horizontal="center" vertical="center"/>
      <protection hidden="1"/>
    </xf>
    <xf numFmtId="0" fontId="66" fillId="6" borderId="34" xfId="0" applyFont="1" applyFill="1" applyBorder="1" applyAlignment="1">
      <alignment horizontal="center" vertical="center"/>
    </xf>
    <xf numFmtId="2" fontId="30" fillId="24" borderId="34" xfId="0" applyNumberFormat="1" applyFont="1" applyFill="1" applyBorder="1" applyAlignment="1">
      <alignment horizontal="center" vertical="center"/>
    </xf>
    <xf numFmtId="0" fontId="66" fillId="6" borderId="34" xfId="0" applyFont="1" applyFill="1" applyBorder="1" applyAlignment="1">
      <alignment horizontal="center" vertical="center" wrapText="1"/>
    </xf>
    <xf numFmtId="0" fontId="46" fillId="19" borderId="34" xfId="0" applyFont="1" applyFill="1" applyBorder="1" applyAlignment="1" applyProtection="1">
      <alignment horizontal="center" vertical="center"/>
      <protection locked="0"/>
    </xf>
    <xf numFmtId="0" fontId="77" fillId="0" borderId="61" xfId="0" applyFont="1" applyBorder="1" applyAlignment="1">
      <alignment horizontal="center" vertical="center"/>
    </xf>
    <xf numFmtId="2" fontId="28" fillId="0" borderId="56" xfId="3" applyFont="1" applyFill="1" applyBorder="1" applyAlignment="1">
      <protection locked="0"/>
    </xf>
    <xf numFmtId="0" fontId="28" fillId="0" borderId="5" xfId="0" applyFont="1" applyBorder="1" applyAlignment="1" applyProtection="1">
      <alignment horizontal="center" vertical="center"/>
      <protection hidden="1"/>
    </xf>
    <xf numFmtId="0" fontId="26" fillId="6" borderId="5" xfId="0" applyFont="1" applyFill="1" applyBorder="1" applyAlignment="1" applyProtection="1">
      <alignment horizontal="center" vertical="center" wrapText="1"/>
      <protection hidden="1"/>
    </xf>
    <xf numFmtId="0" fontId="28" fillId="23" borderId="37" xfId="0" applyFont="1" applyFill="1" applyBorder="1" applyAlignment="1" applyProtection="1">
      <alignment horizontal="center" vertical="center" wrapText="1"/>
      <protection hidden="1"/>
    </xf>
    <xf numFmtId="0" fontId="28" fillId="23" borderId="57" xfId="0" applyFont="1" applyFill="1" applyBorder="1" applyAlignment="1" applyProtection="1">
      <alignment horizontal="center" vertical="center"/>
      <protection hidden="1"/>
    </xf>
    <xf numFmtId="0" fontId="30" fillId="18" borderId="32" xfId="0" applyFont="1" applyFill="1" applyBorder="1" applyAlignment="1" applyProtection="1">
      <alignment horizontal="center" vertical="center"/>
      <protection hidden="1"/>
    </xf>
    <xf numFmtId="0" fontId="30" fillId="18" borderId="34" xfId="0" applyFont="1" applyFill="1" applyBorder="1" applyAlignment="1" applyProtection="1">
      <alignment horizontal="center" vertical="center"/>
      <protection hidden="1"/>
    </xf>
    <xf numFmtId="1" fontId="10" fillId="13" borderId="34" xfId="3" applyNumberFormat="1" applyFont="1" applyBorder="1" applyAlignment="1" applyProtection="1">
      <alignment horizontal="center" vertical="center" wrapText="1"/>
      <protection locked="0" hidden="1"/>
    </xf>
    <xf numFmtId="2" fontId="55" fillId="25" borderId="0" xfId="0" applyNumberFormat="1" applyFont="1" applyFill="1" applyAlignment="1" applyProtection="1">
      <alignment horizontal="center" vertical="center"/>
      <protection hidden="1"/>
    </xf>
    <xf numFmtId="1" fontId="55" fillId="25" borderId="0" xfId="0" applyNumberFormat="1" applyFont="1" applyFill="1" applyAlignment="1" applyProtection="1">
      <alignment horizontal="center" vertical="center"/>
      <protection hidden="1"/>
    </xf>
    <xf numFmtId="2" fontId="8" fillId="25" borderId="0" xfId="0" applyNumberFormat="1" applyFont="1" applyFill="1" applyAlignment="1" applyProtection="1">
      <alignment horizontal="center"/>
      <protection hidden="1"/>
    </xf>
    <xf numFmtId="1" fontId="56" fillId="25" borderId="0" xfId="0" applyNumberFormat="1" applyFont="1" applyFill="1" applyAlignment="1" applyProtection="1">
      <alignment horizontal="center" vertical="center"/>
      <protection hidden="1"/>
    </xf>
    <xf numFmtId="2" fontId="56" fillId="25" borderId="0" xfId="0" applyNumberFormat="1" applyFont="1" applyFill="1" applyAlignment="1" applyProtection="1">
      <alignment horizontal="center" vertical="center"/>
      <protection hidden="1"/>
    </xf>
    <xf numFmtId="171" fontId="55" fillId="25" borderId="0" xfId="0" applyNumberFormat="1" applyFont="1" applyFill="1" applyAlignment="1" applyProtection="1">
      <alignment horizontal="center" vertical="center"/>
      <protection hidden="1"/>
    </xf>
    <xf numFmtId="169" fontId="55" fillId="25" borderId="0" xfId="0" applyNumberFormat="1" applyFont="1" applyFill="1" applyAlignment="1" applyProtection="1">
      <alignment horizontal="center" vertical="center"/>
      <protection hidden="1"/>
    </xf>
    <xf numFmtId="1" fontId="58" fillId="25" borderId="0" xfId="0" applyNumberFormat="1" applyFont="1" applyFill="1" applyAlignment="1" applyProtection="1">
      <alignment horizontal="center" vertical="center"/>
      <protection hidden="1"/>
    </xf>
    <xf numFmtId="2" fontId="56" fillId="25" borderId="0" xfId="0" applyNumberFormat="1" applyFont="1" applyFill="1" applyAlignment="1" applyProtection="1">
      <alignment vertical="center"/>
      <protection hidden="1"/>
    </xf>
    <xf numFmtId="2" fontId="17" fillId="6" borderId="56" xfId="0" applyNumberFormat="1" applyFont="1" applyFill="1" applyBorder="1" applyAlignment="1">
      <alignment horizontal="center" vertical="center"/>
    </xf>
    <xf numFmtId="2" fontId="14" fillId="6" borderId="49" xfId="0" applyNumberFormat="1" applyFont="1" applyFill="1" applyBorder="1" applyAlignment="1">
      <alignment horizontal="center" vertical="center" wrapText="1"/>
    </xf>
    <xf numFmtId="2" fontId="14" fillId="6" borderId="56" xfId="0" applyNumberFormat="1" applyFont="1" applyFill="1" applyBorder="1" applyAlignment="1">
      <alignment horizontal="center" vertical="center" wrapText="1"/>
    </xf>
    <xf numFmtId="2" fontId="14" fillId="6" borderId="57" xfId="0" applyNumberFormat="1" applyFont="1" applyFill="1" applyBorder="1" applyAlignment="1">
      <alignment horizontal="center" vertical="center" wrapText="1"/>
    </xf>
    <xf numFmtId="1" fontId="8" fillId="23" borderId="4" xfId="0" applyNumberFormat="1" applyFont="1" applyFill="1" applyBorder="1" applyAlignment="1" applyProtection="1">
      <alignment horizontal="center" vertical="center"/>
      <protection locked="0" hidden="1"/>
    </xf>
    <xf numFmtId="168" fontId="8" fillId="23" borderId="5" xfId="0" applyNumberFormat="1" applyFont="1" applyFill="1" applyBorder="1" applyAlignment="1" applyProtection="1">
      <alignment horizontal="center" vertical="center" wrapText="1"/>
      <protection locked="0" hidden="1"/>
    </xf>
    <xf numFmtId="171" fontId="8" fillId="23" borderId="37" xfId="0" applyNumberFormat="1" applyFont="1" applyFill="1" applyBorder="1" applyAlignment="1" applyProtection="1">
      <alignment horizontal="center" vertical="center" wrapText="1"/>
      <protection locked="0" hidden="1"/>
    </xf>
    <xf numFmtId="168" fontId="8" fillId="23" borderId="4" xfId="0" applyNumberFormat="1" applyFont="1" applyFill="1" applyBorder="1" applyAlignment="1" applyProtection="1">
      <alignment horizontal="center" vertical="center"/>
      <protection locked="0" hidden="1"/>
    </xf>
    <xf numFmtId="1" fontId="8" fillId="23" borderId="5" xfId="0" applyNumberFormat="1" applyFont="1" applyFill="1" applyBorder="1" applyAlignment="1" applyProtection="1">
      <alignment horizontal="center" vertical="center"/>
      <protection locked="0" hidden="1"/>
    </xf>
    <xf numFmtId="171" fontId="8" fillId="23" borderId="37" xfId="0" applyNumberFormat="1" applyFont="1" applyFill="1" applyBorder="1" applyAlignment="1" applyProtection="1">
      <alignment horizontal="center" vertical="center"/>
      <protection locked="0" hidden="1"/>
    </xf>
    <xf numFmtId="1" fontId="8" fillId="23" borderId="39" xfId="0" applyNumberFormat="1" applyFont="1" applyFill="1" applyBorder="1" applyAlignment="1" applyProtection="1">
      <alignment horizontal="center" vertical="center"/>
      <protection locked="0" hidden="1"/>
    </xf>
    <xf numFmtId="168" fontId="8" fillId="23" borderId="1" xfId="0" applyNumberFormat="1" applyFont="1" applyFill="1" applyBorder="1" applyAlignment="1" applyProtection="1">
      <alignment horizontal="center" vertical="center" wrapText="1"/>
      <protection locked="0" hidden="1"/>
    </xf>
    <xf numFmtId="171" fontId="8" fillId="23" borderId="40" xfId="0" applyNumberFormat="1" applyFont="1" applyFill="1" applyBorder="1" applyAlignment="1" applyProtection="1">
      <alignment horizontal="center" vertical="center"/>
      <protection locked="0" hidden="1"/>
    </xf>
    <xf numFmtId="168" fontId="8" fillId="23" borderId="39" xfId="0" applyNumberFormat="1" applyFont="1" applyFill="1" applyBorder="1" applyAlignment="1" applyProtection="1">
      <alignment horizontal="center" vertical="center"/>
      <protection locked="0" hidden="1"/>
    </xf>
    <xf numFmtId="1" fontId="8" fillId="23" borderId="1" xfId="0" applyNumberFormat="1" applyFont="1" applyFill="1" applyBorder="1" applyAlignment="1" applyProtection="1">
      <alignment horizontal="center" vertical="center"/>
      <protection locked="0" hidden="1"/>
    </xf>
    <xf numFmtId="2" fontId="8" fillId="23" borderId="40" xfId="0" applyNumberFormat="1" applyFont="1" applyFill="1" applyBorder="1" applyAlignment="1" applyProtection="1">
      <alignment horizontal="center" vertical="center"/>
      <protection locked="0" hidden="1"/>
    </xf>
    <xf numFmtId="2" fontId="8" fillId="23" borderId="40" xfId="0" applyNumberFormat="1" applyFont="1" applyFill="1" applyBorder="1" applyAlignment="1" applyProtection="1">
      <alignment vertical="center"/>
      <protection locked="0" hidden="1"/>
    </xf>
    <xf numFmtId="1" fontId="8" fillId="23" borderId="1" xfId="0" applyNumberFormat="1" applyFont="1" applyFill="1" applyBorder="1" applyAlignment="1" applyProtection="1">
      <alignment vertical="center"/>
      <protection locked="0" hidden="1"/>
    </xf>
    <xf numFmtId="1" fontId="76" fillId="23" borderId="39" xfId="0" applyNumberFormat="1" applyFont="1" applyFill="1" applyBorder="1" applyAlignment="1" applyProtection="1">
      <alignment horizontal="center" vertical="center"/>
      <protection locked="0" hidden="1"/>
    </xf>
    <xf numFmtId="2" fontId="76" fillId="23" borderId="40" xfId="0" applyNumberFormat="1" applyFont="1" applyFill="1" applyBorder="1" applyAlignment="1" applyProtection="1">
      <alignment vertical="center"/>
      <protection locked="0" hidden="1"/>
    </xf>
    <xf numFmtId="1" fontId="76" fillId="23" borderId="1" xfId="0" applyNumberFormat="1" applyFont="1" applyFill="1" applyBorder="1" applyAlignment="1" applyProtection="1">
      <alignment vertical="center"/>
      <protection locked="0" hidden="1"/>
    </xf>
    <xf numFmtId="1" fontId="76" fillId="23" borderId="7" xfId="0" applyNumberFormat="1" applyFont="1" applyFill="1" applyBorder="1" applyAlignment="1" applyProtection="1">
      <alignment horizontal="center" vertical="center"/>
      <protection locked="0" hidden="1"/>
    </xf>
    <xf numFmtId="168" fontId="8" fillId="23" borderId="8" xfId="0" applyNumberFormat="1" applyFont="1" applyFill="1" applyBorder="1" applyAlignment="1" applyProtection="1">
      <alignment horizontal="center" vertical="center" wrapText="1"/>
      <protection locked="0" hidden="1"/>
    </xf>
    <xf numFmtId="2" fontId="76" fillId="23" borderId="12" xfId="0" applyNumberFormat="1" applyFont="1" applyFill="1" applyBorder="1" applyAlignment="1" applyProtection="1">
      <alignment vertical="center"/>
      <protection locked="0" hidden="1"/>
    </xf>
    <xf numFmtId="168" fontId="8" fillId="23" borderId="7" xfId="0" applyNumberFormat="1" applyFont="1" applyFill="1" applyBorder="1" applyAlignment="1" applyProtection="1">
      <alignment horizontal="center" vertical="center"/>
      <protection locked="0" hidden="1"/>
    </xf>
    <xf numFmtId="1" fontId="76" fillId="23" borderId="8" xfId="0" applyNumberFormat="1" applyFont="1" applyFill="1" applyBorder="1" applyAlignment="1" applyProtection="1">
      <alignment vertical="center"/>
      <protection locked="0" hidden="1"/>
    </xf>
    <xf numFmtId="1" fontId="8" fillId="23" borderId="14" xfId="0" applyNumberFormat="1" applyFont="1" applyFill="1" applyBorder="1" applyAlignment="1" applyProtection="1">
      <alignment horizontal="center" vertical="center"/>
      <protection locked="0" hidden="1"/>
    </xf>
    <xf numFmtId="1" fontId="8" fillId="23" borderId="9" xfId="0" applyNumberFormat="1" applyFont="1" applyFill="1" applyBorder="1" applyAlignment="1" applyProtection="1">
      <alignment horizontal="center" vertical="center" wrapText="1"/>
      <protection locked="0" hidden="1"/>
    </xf>
    <xf numFmtId="1" fontId="8" fillId="23" borderId="10" xfId="0" applyNumberFormat="1" applyFont="1" applyFill="1" applyBorder="1" applyAlignment="1" applyProtection="1">
      <alignment horizontal="center" vertical="center"/>
      <protection locked="0" hidden="1"/>
    </xf>
    <xf numFmtId="165" fontId="8" fillId="23" borderId="10" xfId="0" applyNumberFormat="1" applyFont="1" applyFill="1" applyBorder="1" applyAlignment="1" applyProtection="1">
      <alignment horizontal="center" vertical="center"/>
      <protection locked="0" hidden="1"/>
    </xf>
    <xf numFmtId="1" fontId="8" fillId="23" borderId="11" xfId="0" applyNumberFormat="1" applyFont="1" applyFill="1" applyBorder="1" applyAlignment="1" applyProtection="1">
      <alignment horizontal="center" vertical="center"/>
      <protection locked="0" hidden="1"/>
    </xf>
    <xf numFmtId="1" fontId="8" fillId="23" borderId="16" xfId="0" applyNumberFormat="1" applyFont="1" applyFill="1" applyBorder="1" applyAlignment="1" applyProtection="1">
      <alignment horizontal="center" vertical="center"/>
      <protection hidden="1"/>
    </xf>
    <xf numFmtId="0" fontId="46" fillId="0" borderId="7" xfId="0" applyFont="1" applyBorder="1" applyAlignment="1">
      <alignment horizontal="center" vertical="center"/>
    </xf>
    <xf numFmtId="0" fontId="28" fillId="0" borderId="24" xfId="0" applyFont="1" applyBorder="1" applyAlignment="1" applyProtection="1">
      <alignment horizontal="center" vertical="center"/>
      <protection hidden="1"/>
    </xf>
    <xf numFmtId="0" fontId="45" fillId="6" borderId="31" xfId="0" applyFont="1" applyFill="1" applyBorder="1" applyAlignment="1" applyProtection="1">
      <alignment horizontal="center" vertical="center" wrapText="1"/>
      <protection hidden="1"/>
    </xf>
    <xf numFmtId="0" fontId="30" fillId="0" borderId="5" xfId="0" applyFont="1" applyBorder="1" applyAlignment="1" applyProtection="1">
      <alignment horizontal="center" vertical="center"/>
      <protection hidden="1"/>
    </xf>
    <xf numFmtId="0" fontId="29" fillId="0" borderId="39" xfId="0" applyFont="1" applyBorder="1" applyAlignment="1" applyProtection="1">
      <alignment horizontal="center" vertical="center" wrapText="1"/>
      <protection hidden="1"/>
    </xf>
    <xf numFmtId="0" fontId="30" fillId="2" borderId="40" xfId="0" applyFont="1" applyFill="1" applyBorder="1" applyAlignment="1" applyProtection="1">
      <alignment horizontal="center" vertical="center"/>
      <protection hidden="1"/>
    </xf>
    <xf numFmtId="0" fontId="30" fillId="2" borderId="8" xfId="0" applyFont="1" applyFill="1" applyBorder="1" applyAlignment="1" applyProtection="1">
      <alignment horizontal="center" vertical="center"/>
      <protection hidden="1"/>
    </xf>
    <xf numFmtId="0" fontId="30" fillId="2" borderId="12" xfId="0" applyFont="1" applyFill="1" applyBorder="1" applyAlignment="1" applyProtection="1">
      <alignment horizontal="center" vertical="center"/>
      <protection hidden="1"/>
    </xf>
    <xf numFmtId="0" fontId="28" fillId="0" borderId="37" xfId="0" applyFont="1" applyBorder="1" applyProtection="1">
      <protection hidden="1"/>
    </xf>
    <xf numFmtId="0" fontId="28" fillId="23" borderId="40" xfId="0" applyFont="1" applyFill="1" applyBorder="1" applyAlignment="1" applyProtection="1">
      <alignment horizontal="center" vertical="center"/>
      <protection locked="0" hidden="1"/>
    </xf>
    <xf numFmtId="2" fontId="81" fillId="0" borderId="69" xfId="3" applyFont="1" applyFill="1" applyBorder="1" applyAlignment="1">
      <alignment horizontal="center" vertical="center"/>
      <protection locked="0"/>
    </xf>
    <xf numFmtId="2" fontId="81" fillId="0" borderId="19" xfId="0" applyNumberFormat="1" applyFont="1" applyBorder="1" applyAlignment="1" applyProtection="1">
      <alignment horizontal="center" vertical="center"/>
      <protection hidden="1"/>
    </xf>
    <xf numFmtId="0" fontId="81" fillId="0" borderId="58" xfId="0" applyFont="1" applyBorder="1" applyProtection="1">
      <protection hidden="1"/>
    </xf>
    <xf numFmtId="0" fontId="29" fillId="0" borderId="43" xfId="0" applyFont="1" applyBorder="1" applyAlignment="1" applyProtection="1">
      <alignment horizontal="center" vertical="center"/>
      <protection hidden="1"/>
    </xf>
    <xf numFmtId="0" fontId="29" fillId="0" borderId="44" xfId="0" applyFont="1" applyBorder="1" applyAlignment="1" applyProtection="1">
      <alignment horizontal="center"/>
      <protection hidden="1"/>
    </xf>
    <xf numFmtId="0" fontId="29" fillId="0" borderId="41" xfId="0" applyFont="1" applyBorder="1" applyAlignment="1" applyProtection="1">
      <alignment horizontal="center" vertical="center" wrapText="1"/>
      <protection hidden="1"/>
    </xf>
    <xf numFmtId="180" fontId="29" fillId="0" borderId="20" xfId="0" applyNumberFormat="1" applyFont="1" applyBorder="1" applyAlignment="1" applyProtection="1">
      <alignment horizontal="center" vertical="center"/>
      <protection hidden="1"/>
    </xf>
    <xf numFmtId="0" fontId="29" fillId="0" borderId="4" xfId="0" applyFont="1" applyBorder="1" applyAlignment="1" applyProtection="1">
      <alignment horizontal="center" vertical="center" wrapText="1"/>
      <protection hidden="1"/>
    </xf>
    <xf numFmtId="0" fontId="29" fillId="0" borderId="7" xfId="0" applyFont="1" applyBorder="1" applyAlignment="1" applyProtection="1">
      <alignment horizontal="center" vertical="center" wrapText="1"/>
      <protection hidden="1"/>
    </xf>
    <xf numFmtId="0" fontId="30" fillId="23" borderId="5" xfId="0" applyFont="1" applyFill="1" applyBorder="1" applyAlignment="1" applyProtection="1">
      <alignment horizontal="center" vertical="center"/>
      <protection hidden="1"/>
    </xf>
    <xf numFmtId="164" fontId="29" fillId="0" borderId="8" xfId="0" applyNumberFormat="1" applyFont="1" applyBorder="1" applyAlignment="1" applyProtection="1">
      <alignment horizontal="center" vertical="center"/>
      <protection hidden="1"/>
    </xf>
    <xf numFmtId="0" fontId="30" fillId="23" borderId="8" xfId="0" applyFont="1" applyFill="1" applyBorder="1" applyAlignment="1" applyProtection="1">
      <alignment horizontal="center" vertical="center"/>
      <protection hidden="1"/>
    </xf>
    <xf numFmtId="1" fontId="29" fillId="0" borderId="8" xfId="0" applyNumberFormat="1" applyFont="1" applyBorder="1" applyAlignment="1" applyProtection="1">
      <alignment horizontal="center" vertical="center"/>
      <protection hidden="1"/>
    </xf>
    <xf numFmtId="1" fontId="29" fillId="23" borderId="8" xfId="0" applyNumberFormat="1" applyFont="1" applyFill="1" applyBorder="1" applyAlignment="1" applyProtection="1">
      <alignment horizontal="center" vertical="center"/>
      <protection hidden="1"/>
    </xf>
    <xf numFmtId="0" fontId="29" fillId="0" borderId="56" xfId="0" applyFont="1" applyBorder="1" applyProtection="1">
      <protection hidden="1"/>
    </xf>
    <xf numFmtId="0" fontId="29" fillId="0" borderId="49" xfId="0" applyFont="1" applyBorder="1" applyProtection="1">
      <protection hidden="1"/>
    </xf>
    <xf numFmtId="0" fontId="29" fillId="0" borderId="49" xfId="0" applyFont="1" applyBorder="1" applyAlignment="1" applyProtection="1">
      <alignment horizontal="center" vertical="center"/>
      <protection hidden="1"/>
    </xf>
    <xf numFmtId="0" fontId="29" fillId="22" borderId="5" xfId="0" applyFont="1" applyFill="1" applyBorder="1" applyAlignment="1">
      <alignment horizontal="center" vertical="center" wrapText="1"/>
    </xf>
    <xf numFmtId="0" fontId="29" fillId="22" borderId="37" xfId="0" applyFont="1" applyFill="1" applyBorder="1" applyAlignment="1">
      <alignment horizontal="center" vertical="center" wrapText="1"/>
    </xf>
    <xf numFmtId="0" fontId="29" fillId="22" borderId="1" xfId="0" applyFont="1" applyFill="1" applyBorder="1" applyAlignment="1">
      <alignment horizontal="center" vertical="center" wrapText="1"/>
    </xf>
    <xf numFmtId="0" fontId="29" fillId="22" borderId="40" xfId="0" applyFont="1" applyFill="1" applyBorder="1" applyAlignment="1">
      <alignment horizontal="center" vertical="center" wrapText="1"/>
    </xf>
    <xf numFmtId="0" fontId="29" fillId="22" borderId="8" xfId="0" applyFont="1" applyFill="1" applyBorder="1" applyAlignment="1">
      <alignment vertical="center" wrapText="1"/>
    </xf>
    <xf numFmtId="0" fontId="29" fillId="22" borderId="12" xfId="0" applyFont="1" applyFill="1" applyBorder="1" applyAlignment="1">
      <alignment vertical="center" wrapText="1"/>
    </xf>
    <xf numFmtId="0" fontId="8" fillId="23" borderId="40" xfId="0" applyFont="1" applyFill="1" applyBorder="1" applyAlignment="1" applyProtection="1">
      <alignment horizontal="center" vertical="center" wrapText="1"/>
      <protection hidden="1"/>
    </xf>
    <xf numFmtId="0" fontId="8" fillId="23" borderId="12" xfId="0" applyFont="1" applyFill="1" applyBorder="1" applyAlignment="1" applyProtection="1">
      <alignment horizontal="center" vertical="center" wrapText="1"/>
      <protection hidden="1"/>
    </xf>
    <xf numFmtId="171" fontId="8" fillId="23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0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8" fillId="21" borderId="59" xfId="0" applyFont="1" applyFill="1" applyBorder="1" applyAlignment="1" applyProtection="1">
      <alignment horizontal="center" vertical="center"/>
      <protection hidden="1"/>
    </xf>
    <xf numFmtId="171" fontId="8" fillId="7" borderId="3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1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40" xfId="0" applyNumberFormat="1" applyFont="1" applyFill="1" applyBorder="1" applyAlignment="1" applyProtection="1">
      <alignment horizontal="center" vertical="center"/>
      <protection locked="0" hidden="1"/>
    </xf>
    <xf numFmtId="2" fontId="14" fillId="9" borderId="5" xfId="0" applyNumberFormat="1" applyFont="1" applyFill="1" applyBorder="1" applyAlignment="1" applyProtection="1">
      <alignment horizontal="center" vertical="center"/>
      <protection hidden="1"/>
    </xf>
    <xf numFmtId="0" fontId="29" fillId="0" borderId="24" xfId="0" applyFont="1" applyBorder="1" applyAlignment="1" applyProtection="1">
      <alignment vertical="center" wrapText="1"/>
      <protection hidden="1"/>
    </xf>
    <xf numFmtId="0" fontId="29" fillId="18" borderId="34" xfId="0" applyFont="1" applyFill="1" applyBorder="1" applyAlignment="1" applyProtection="1">
      <alignment horizontal="center" vertical="center" wrapText="1"/>
      <protection hidden="1"/>
    </xf>
    <xf numFmtId="0" fontId="29" fillId="0" borderId="51" xfId="0" applyFont="1" applyBorder="1" applyAlignment="1" applyProtection="1">
      <alignment horizontal="center" vertical="center" wrapText="1"/>
      <protection hidden="1"/>
    </xf>
    <xf numFmtId="0" fontId="29" fillId="0" borderId="26" xfId="0" applyFont="1" applyBorder="1" applyAlignment="1" applyProtection="1">
      <alignment horizontal="center" vertical="center" wrapText="1"/>
      <protection hidden="1"/>
    </xf>
    <xf numFmtId="0" fontId="29" fillId="23" borderId="26" xfId="0" applyFont="1" applyFill="1" applyBorder="1" applyAlignment="1" applyProtection="1">
      <alignment horizontal="center" vertical="center"/>
      <protection hidden="1"/>
    </xf>
    <xf numFmtId="168" fontId="29" fillId="23" borderId="26" xfId="0" applyNumberFormat="1" applyFont="1" applyFill="1" applyBorder="1" applyAlignment="1" applyProtection="1">
      <alignment horizontal="center" vertical="center"/>
      <protection hidden="1"/>
    </xf>
    <xf numFmtId="180" fontId="29" fillId="0" borderId="26" xfId="0" applyNumberFormat="1" applyFont="1" applyBorder="1" applyAlignment="1" applyProtection="1">
      <alignment horizontal="center" vertical="center"/>
      <protection hidden="1"/>
    </xf>
    <xf numFmtId="180" fontId="29" fillId="23" borderId="26" xfId="0" applyNumberFormat="1" applyFont="1" applyFill="1" applyBorder="1" applyAlignment="1" applyProtection="1">
      <alignment horizontal="center" vertical="center"/>
      <protection hidden="1"/>
    </xf>
    <xf numFmtId="169" fontId="29" fillId="0" borderId="26" xfId="0" applyNumberFormat="1" applyFont="1" applyBorder="1" applyAlignment="1" applyProtection="1">
      <alignment horizontal="center" vertical="center"/>
      <protection hidden="1"/>
    </xf>
    <xf numFmtId="165" fontId="29" fillId="23" borderId="26" xfId="0" applyNumberFormat="1" applyFont="1" applyFill="1" applyBorder="1" applyAlignment="1" applyProtection="1">
      <alignment horizontal="center" vertical="center"/>
      <protection hidden="1"/>
    </xf>
    <xf numFmtId="171" fontId="29" fillId="0" borderId="26" xfId="0" applyNumberFormat="1" applyFont="1" applyBorder="1" applyAlignment="1" applyProtection="1">
      <alignment horizontal="center" vertical="center"/>
      <protection hidden="1"/>
    </xf>
    <xf numFmtId="169" fontId="29" fillId="23" borderId="26" xfId="0" applyNumberFormat="1" applyFont="1" applyFill="1" applyBorder="1" applyAlignment="1" applyProtection="1">
      <alignment horizontal="center" vertical="center"/>
      <protection hidden="1"/>
    </xf>
    <xf numFmtId="168" fontId="29" fillId="0" borderId="26" xfId="0" applyNumberFormat="1" applyFont="1" applyBorder="1" applyAlignment="1" applyProtection="1">
      <alignment horizontal="center" vertical="center"/>
      <protection hidden="1"/>
    </xf>
    <xf numFmtId="2" fontId="1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9" xfId="0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" fontId="8" fillId="9" borderId="1" xfId="0" applyNumberFormat="1" applyFont="1" applyFill="1" applyBorder="1" applyAlignment="1" applyProtection="1">
      <alignment horizontal="center" vertical="center"/>
      <protection hidden="1"/>
    </xf>
    <xf numFmtId="1" fontId="8" fillId="9" borderId="40" xfId="0" applyNumberFormat="1" applyFont="1" applyFill="1" applyBorder="1" applyAlignment="1" applyProtection="1">
      <alignment horizontal="center" vertical="center"/>
      <protection hidden="1"/>
    </xf>
    <xf numFmtId="2" fontId="27" fillId="8" borderId="34" xfId="0" applyNumberFormat="1" applyFont="1" applyFill="1" applyBorder="1" applyAlignment="1" applyProtection="1">
      <alignment horizontal="center" vertical="center"/>
      <protection hidden="1"/>
    </xf>
    <xf numFmtId="2" fontId="8" fillId="0" borderId="21" xfId="0" applyNumberFormat="1" applyFont="1" applyBorder="1" applyProtection="1">
      <protection hidden="1"/>
    </xf>
    <xf numFmtId="169" fontId="10" fillId="9" borderId="37" xfId="0" applyNumberFormat="1" applyFont="1" applyFill="1" applyBorder="1" applyAlignment="1" applyProtection="1">
      <alignment horizontal="center" vertical="center"/>
      <protection hidden="1"/>
    </xf>
    <xf numFmtId="169" fontId="10" fillId="9" borderId="40" xfId="0" applyNumberFormat="1" applyFont="1" applyFill="1" applyBorder="1" applyAlignment="1" applyProtection="1">
      <alignment horizontal="center" vertical="center"/>
      <protection hidden="1"/>
    </xf>
    <xf numFmtId="169" fontId="10" fillId="9" borderId="12" xfId="0" applyNumberFormat="1" applyFont="1" applyFill="1" applyBorder="1" applyAlignment="1" applyProtection="1">
      <alignment horizontal="center" vertical="center"/>
      <protection hidden="1"/>
    </xf>
    <xf numFmtId="2" fontId="10" fillId="9" borderId="4" xfId="0" applyNumberFormat="1" applyFont="1" applyFill="1" applyBorder="1" applyAlignment="1" applyProtection="1">
      <alignment horizontal="center" vertical="center"/>
      <protection hidden="1"/>
    </xf>
    <xf numFmtId="2" fontId="10" fillId="9" borderId="39" xfId="0" applyNumberFormat="1" applyFont="1" applyFill="1" applyBorder="1" applyAlignment="1" applyProtection="1">
      <alignment horizontal="center" vertical="center"/>
      <protection hidden="1"/>
    </xf>
    <xf numFmtId="2" fontId="10" fillId="9" borderId="7" xfId="0" applyNumberFormat="1" applyFont="1" applyFill="1" applyBorder="1" applyAlignment="1" applyProtection="1">
      <alignment horizontal="center" vertical="center"/>
      <protection hidden="1"/>
    </xf>
    <xf numFmtId="1" fontId="14" fillId="9" borderId="9" xfId="0" applyNumberFormat="1" applyFont="1" applyFill="1" applyBorder="1" applyAlignment="1" applyProtection="1">
      <alignment horizontal="center" vertical="center"/>
      <protection hidden="1"/>
    </xf>
    <xf numFmtId="1" fontId="14" fillId="9" borderId="10" xfId="0" applyNumberFormat="1" applyFont="1" applyFill="1" applyBorder="1" applyAlignment="1" applyProtection="1">
      <alignment horizontal="center" vertical="center"/>
      <protection hidden="1"/>
    </xf>
    <xf numFmtId="1" fontId="14" fillId="9" borderId="11" xfId="0" applyNumberFormat="1" applyFont="1" applyFill="1" applyBorder="1" applyAlignment="1" applyProtection="1">
      <alignment horizontal="center" vertical="center"/>
      <protection hidden="1"/>
    </xf>
    <xf numFmtId="1" fontId="14" fillId="13" borderId="32" xfId="3" applyNumberFormat="1" applyFont="1" applyBorder="1" applyAlignment="1" applyProtection="1">
      <alignment horizontal="center" vertical="center"/>
      <protection locked="0" hidden="1"/>
    </xf>
    <xf numFmtId="1" fontId="14" fillId="13" borderId="22" xfId="3" applyNumberFormat="1" applyFont="1" applyBorder="1" applyAlignment="1" applyProtection="1">
      <alignment horizontal="center" vertical="center"/>
      <protection locked="0" hidden="1"/>
    </xf>
    <xf numFmtId="2" fontId="10" fillId="13" borderId="34" xfId="3" applyNumberFormat="1" applyFont="1" applyBorder="1" applyAlignment="1" applyProtection="1">
      <alignment horizontal="center" vertical="center" wrapText="1"/>
      <protection locked="0" hidden="1"/>
    </xf>
    <xf numFmtId="171" fontId="8" fillId="7" borderId="4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5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37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39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43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31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8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12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7" xfId="0" applyNumberFormat="1" applyFont="1" applyFill="1" applyBorder="1" applyAlignment="1" applyProtection="1">
      <alignment horizontal="center" vertical="center"/>
      <protection locked="0" hidden="1"/>
    </xf>
    <xf numFmtId="171" fontId="87" fillId="8" borderId="46" xfId="0" applyNumberFormat="1" applyFont="1" applyFill="1" applyBorder="1" applyAlignment="1" applyProtection="1">
      <alignment horizontal="center" vertical="center"/>
      <protection hidden="1"/>
    </xf>
    <xf numFmtId="171" fontId="87" fillId="8" borderId="47" xfId="0" applyNumberFormat="1" applyFont="1" applyFill="1" applyBorder="1" applyAlignment="1" applyProtection="1">
      <alignment horizontal="center" vertical="center"/>
      <protection hidden="1"/>
    </xf>
    <xf numFmtId="0" fontId="30" fillId="18" borderId="32" xfId="0" applyNumberFormat="1" applyFont="1" applyFill="1" applyBorder="1" applyAlignment="1" applyProtection="1">
      <alignment horizontal="center" vertical="center"/>
      <protection hidden="1"/>
    </xf>
    <xf numFmtId="180" fontId="29" fillId="23" borderId="1" xfId="0" applyNumberFormat="1" applyFont="1" applyFill="1" applyBorder="1" applyAlignment="1" applyProtection="1">
      <alignment horizontal="center" vertical="center"/>
      <protection hidden="1"/>
    </xf>
    <xf numFmtId="0" fontId="29" fillId="0" borderId="20" xfId="0" applyFont="1" applyBorder="1" applyAlignment="1" applyProtection="1">
      <alignment horizontal="center" vertical="center" wrapText="1"/>
      <protection hidden="1"/>
    </xf>
    <xf numFmtId="0" fontId="29" fillId="23" borderId="20" xfId="0" applyFont="1" applyFill="1" applyBorder="1" applyAlignment="1" applyProtection="1">
      <alignment horizontal="center" vertical="center" wrapText="1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63" fillId="0" borderId="1" xfId="0" applyFont="1" applyBorder="1" applyAlignment="1" applyProtection="1">
      <alignment horizontal="center" vertical="center" wrapText="1"/>
      <protection hidden="1"/>
    </xf>
    <xf numFmtId="0" fontId="29" fillId="2" borderId="39" xfId="0" applyFont="1" applyFill="1" applyBorder="1" applyAlignment="1" applyProtection="1">
      <alignment horizontal="center" vertical="center" wrapText="1"/>
      <protection hidden="1"/>
    </xf>
    <xf numFmtId="0" fontId="29" fillId="2" borderId="1" xfId="0" applyFont="1" applyFill="1" applyBorder="1" applyAlignment="1" applyProtection="1">
      <alignment horizontal="center" vertical="center" wrapText="1"/>
      <protection hidden="1"/>
    </xf>
    <xf numFmtId="168" fontId="29" fillId="23" borderId="1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5" xfId="0" applyFont="1" applyBorder="1" applyAlignment="1" applyProtection="1">
      <alignment horizontal="center" vertical="center" wrapText="1"/>
      <protection hidden="1"/>
    </xf>
    <xf numFmtId="0" fontId="29" fillId="0" borderId="5" xfId="0" quotePrefix="1" applyFont="1" applyBorder="1" applyAlignment="1" applyProtection="1">
      <alignment horizontal="center" vertical="center" wrapText="1"/>
      <protection hidden="1"/>
    </xf>
    <xf numFmtId="168" fontId="29" fillId="23" borderId="5" xfId="0" quotePrefix="1" applyNumberFormat="1" applyFont="1" applyFill="1" applyBorder="1" applyAlignment="1" applyProtection="1">
      <alignment horizontal="center" vertical="center" wrapText="1"/>
      <protection hidden="1"/>
    </xf>
    <xf numFmtId="0" fontId="29" fillId="23" borderId="5" xfId="0" quotePrefix="1" applyFont="1" applyFill="1" applyBorder="1" applyAlignment="1" applyProtection="1">
      <alignment horizontal="center" vertical="center" wrapText="1"/>
      <protection hidden="1"/>
    </xf>
    <xf numFmtId="165" fontId="29" fillId="23" borderId="5" xfId="0" applyNumberFormat="1" applyFont="1" applyFill="1" applyBorder="1" applyAlignment="1" applyProtection="1">
      <alignment horizontal="center" vertical="center" wrapText="1"/>
      <protection hidden="1"/>
    </xf>
    <xf numFmtId="1" fontId="29" fillId="0" borderId="5" xfId="0" applyNumberFormat="1" applyFont="1" applyBorder="1" applyAlignment="1">
      <alignment horizontal="center" vertical="center" wrapText="1"/>
    </xf>
    <xf numFmtId="169" fontId="29" fillId="23" borderId="5" xfId="0" applyNumberFormat="1" applyFont="1" applyFill="1" applyBorder="1" applyAlignment="1">
      <alignment horizontal="center" vertical="center" wrapText="1"/>
    </xf>
    <xf numFmtId="0" fontId="29" fillId="0" borderId="37" xfId="0" applyFont="1" applyBorder="1" applyAlignment="1" applyProtection="1">
      <alignment horizontal="center" vertical="center" wrapText="1"/>
      <protection hidden="1"/>
    </xf>
    <xf numFmtId="0" fontId="29" fillId="0" borderId="1" xfId="0" quotePrefix="1" applyFont="1" applyBorder="1" applyAlignment="1" applyProtection="1">
      <alignment horizontal="center" vertical="center" wrapText="1"/>
      <protection hidden="1"/>
    </xf>
    <xf numFmtId="168" fontId="29" fillId="23" borderId="1" xfId="0" quotePrefix="1" applyNumberFormat="1" applyFont="1" applyFill="1" applyBorder="1" applyAlignment="1" applyProtection="1">
      <alignment horizontal="center" vertical="center" wrapText="1"/>
      <protection hidden="1"/>
    </xf>
    <xf numFmtId="0" fontId="29" fillId="23" borderId="1" xfId="0" quotePrefix="1" applyFont="1" applyFill="1" applyBorder="1" applyAlignment="1" applyProtection="1">
      <alignment horizontal="center" vertical="center" wrapText="1"/>
      <protection hidden="1"/>
    </xf>
    <xf numFmtId="165" fontId="29" fillId="23" borderId="1" xfId="0" applyNumberFormat="1" applyFont="1" applyFill="1" applyBorder="1" applyAlignment="1" applyProtection="1">
      <alignment horizontal="center" vertical="center" wrapText="1"/>
      <protection hidden="1"/>
    </xf>
    <xf numFmtId="1" fontId="29" fillId="0" borderId="1" xfId="0" applyNumberFormat="1" applyFont="1" applyBorder="1" applyAlignment="1">
      <alignment horizontal="center" vertical="center" wrapText="1"/>
    </xf>
    <xf numFmtId="169" fontId="29" fillId="23" borderId="1" xfId="0" applyNumberFormat="1" applyFont="1" applyFill="1" applyBorder="1" applyAlignment="1">
      <alignment horizontal="center" vertical="center" wrapText="1"/>
    </xf>
    <xf numFmtId="0" fontId="29" fillId="0" borderId="40" xfId="0" applyFont="1" applyBorder="1" applyAlignment="1" applyProtection="1">
      <alignment horizontal="center" vertical="center" wrapText="1"/>
      <protection hidden="1"/>
    </xf>
    <xf numFmtId="0" fontId="29" fillId="0" borderId="39" xfId="0" quotePrefix="1" applyFont="1" applyBorder="1" applyAlignment="1" applyProtection="1">
      <alignment horizontal="center" vertical="center" wrapText="1"/>
      <protection hidden="1"/>
    </xf>
    <xf numFmtId="0" fontId="29" fillId="0" borderId="7" xfId="0" quotePrefix="1" applyFont="1" applyBorder="1" applyAlignment="1" applyProtection="1">
      <alignment horizontal="center" vertical="center" wrapText="1"/>
      <protection hidden="1"/>
    </xf>
    <xf numFmtId="0" fontId="29" fillId="0" borderId="8" xfId="0" applyFont="1" applyBorder="1" applyAlignment="1" applyProtection="1">
      <alignment horizontal="center" vertical="center" wrapText="1"/>
      <protection hidden="1"/>
    </xf>
    <xf numFmtId="0" fontId="29" fillId="0" borderId="8" xfId="0" quotePrefix="1" applyFont="1" applyBorder="1" applyAlignment="1" applyProtection="1">
      <alignment horizontal="center" vertical="center" wrapText="1"/>
      <protection hidden="1"/>
    </xf>
    <xf numFmtId="0" fontId="29" fillId="23" borderId="8" xfId="0" quotePrefix="1" applyFont="1" applyFill="1" applyBorder="1" applyAlignment="1" applyProtection="1">
      <alignment horizontal="center" vertical="center" wrapText="1"/>
      <protection hidden="1"/>
    </xf>
    <xf numFmtId="168" fontId="29" fillId="23" borderId="8" xfId="0" quotePrefix="1" applyNumberFormat="1" applyFont="1" applyFill="1" applyBorder="1" applyAlignment="1" applyProtection="1">
      <alignment horizontal="center" vertical="center" wrapText="1"/>
      <protection hidden="1"/>
    </xf>
    <xf numFmtId="165" fontId="29" fillId="23" borderId="8" xfId="0" applyNumberFormat="1" applyFont="1" applyFill="1" applyBorder="1" applyAlignment="1" applyProtection="1">
      <alignment horizontal="center" vertical="center" wrapText="1"/>
      <protection hidden="1"/>
    </xf>
    <xf numFmtId="171" fontId="29" fillId="0" borderId="8" xfId="0" applyNumberFormat="1" applyFont="1" applyBorder="1" applyAlignment="1">
      <alignment horizontal="center" vertical="center" wrapText="1"/>
    </xf>
    <xf numFmtId="169" fontId="29" fillId="23" borderId="8" xfId="0" applyNumberFormat="1" applyFont="1" applyFill="1" applyBorder="1" applyAlignment="1">
      <alignment horizontal="center" vertical="center" wrapText="1"/>
    </xf>
    <xf numFmtId="0" fontId="29" fillId="0" borderId="12" xfId="0" applyFont="1" applyBorder="1" applyAlignment="1" applyProtection="1">
      <alignment horizontal="center" vertical="center" wrapText="1"/>
      <protection hidden="1"/>
    </xf>
    <xf numFmtId="165" fontId="29" fillId="23" borderId="20" xfId="0" applyNumberFormat="1" applyFont="1" applyFill="1" applyBorder="1" applyAlignment="1" applyProtection="1">
      <alignment horizontal="center" vertical="center" wrapText="1"/>
      <protection hidden="1"/>
    </xf>
    <xf numFmtId="171" fontId="29" fillId="0" borderId="20" xfId="0" applyNumberFormat="1" applyFont="1" applyBorder="1" applyAlignment="1">
      <alignment horizontal="center" vertical="center" wrapText="1"/>
    </xf>
    <xf numFmtId="169" fontId="29" fillId="23" borderId="20" xfId="0" applyNumberFormat="1" applyFont="1" applyFill="1" applyBorder="1" applyAlignment="1">
      <alignment horizontal="center" vertical="center" wrapText="1"/>
    </xf>
    <xf numFmtId="171" fontId="29" fillId="0" borderId="1" xfId="0" applyNumberFormat="1" applyFont="1" applyBorder="1" applyAlignment="1">
      <alignment horizontal="center" vertical="center" wrapText="1"/>
    </xf>
    <xf numFmtId="166" fontId="29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29" fillId="23" borderId="1" xfId="0" applyNumberFormat="1" applyFont="1" applyFill="1" applyBorder="1" applyAlignment="1" applyProtection="1">
      <alignment horizontal="center" vertical="center" wrapText="1"/>
      <protection hidden="1"/>
    </xf>
    <xf numFmtId="164" fontId="29" fillId="23" borderId="1" xfId="0" applyNumberFormat="1" applyFont="1" applyFill="1" applyBorder="1" applyAlignment="1" applyProtection="1">
      <alignment horizontal="center" vertical="center" wrapText="1"/>
      <protection hidden="1"/>
    </xf>
    <xf numFmtId="0" fontId="29" fillId="2" borderId="43" xfId="0" applyFont="1" applyFill="1" applyBorder="1" applyAlignment="1" applyProtection="1">
      <alignment horizontal="center" vertical="center" wrapText="1"/>
      <protection hidden="1"/>
    </xf>
    <xf numFmtId="0" fontId="29" fillId="2" borderId="31" xfId="0" applyFont="1" applyFill="1" applyBorder="1" applyAlignment="1" applyProtection="1">
      <alignment horizontal="center" vertical="center" wrapText="1"/>
      <protection hidden="1"/>
    </xf>
    <xf numFmtId="0" fontId="29" fillId="23" borderId="31" xfId="0" applyFont="1" applyFill="1" applyBorder="1" applyAlignment="1" applyProtection="1">
      <alignment horizontal="center" vertical="center" wrapText="1"/>
      <protection hidden="1"/>
    </xf>
    <xf numFmtId="168" fontId="29" fillId="23" borderId="31" xfId="0" applyNumberFormat="1" applyFont="1" applyFill="1" applyBorder="1" applyAlignment="1" applyProtection="1">
      <alignment horizontal="center" vertical="center" wrapText="1"/>
      <protection hidden="1"/>
    </xf>
    <xf numFmtId="166" fontId="29" fillId="2" borderId="31" xfId="0" applyNumberFormat="1" applyFont="1" applyFill="1" applyBorder="1" applyAlignment="1" applyProtection="1">
      <alignment horizontal="center" vertical="center" wrapText="1"/>
      <protection hidden="1"/>
    </xf>
    <xf numFmtId="166" fontId="29" fillId="23" borderId="31" xfId="0" applyNumberFormat="1" applyFont="1" applyFill="1" applyBorder="1" applyAlignment="1" applyProtection="1">
      <alignment horizontal="center" vertical="center" wrapText="1"/>
      <protection hidden="1"/>
    </xf>
    <xf numFmtId="0" fontId="29" fillId="2" borderId="4" xfId="0" applyFont="1" applyFill="1" applyBorder="1" applyAlignment="1" applyProtection="1">
      <alignment horizontal="center" vertical="center" wrapText="1"/>
      <protection hidden="1"/>
    </xf>
    <xf numFmtId="0" fontId="29" fillId="2" borderId="5" xfId="0" applyFont="1" applyFill="1" applyBorder="1" applyAlignment="1" applyProtection="1">
      <alignment horizontal="center" vertical="center" wrapText="1"/>
      <protection hidden="1"/>
    </xf>
    <xf numFmtId="168" fontId="29" fillId="23" borderId="5" xfId="0" applyNumberFormat="1" applyFont="1" applyFill="1" applyBorder="1" applyAlignment="1" applyProtection="1">
      <alignment horizontal="center" vertical="center" wrapText="1"/>
      <protection hidden="1"/>
    </xf>
    <xf numFmtId="166" fontId="29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29" fillId="23" borderId="5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5" xfId="0" applyNumberFormat="1" applyFont="1" applyFill="1" applyBorder="1" applyAlignment="1" applyProtection="1">
      <alignment horizontal="center" vertical="center" wrapText="1"/>
      <protection hidden="1"/>
    </xf>
    <xf numFmtId="169" fontId="29" fillId="23" borderId="5" xfId="0" applyNumberFormat="1" applyFont="1" applyFill="1" applyBorder="1" applyAlignment="1" applyProtection="1">
      <alignment horizontal="center" vertical="center" wrapText="1"/>
      <protection hidden="1"/>
    </xf>
    <xf numFmtId="169" fontId="29" fillId="2" borderId="5" xfId="0" applyNumberFormat="1" applyFont="1" applyFill="1" applyBorder="1" applyAlignment="1" applyProtection="1">
      <alignment horizontal="center" vertical="center" wrapText="1"/>
      <protection hidden="1"/>
    </xf>
    <xf numFmtId="169" fontId="29" fillId="2" borderId="37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1" xfId="0" applyNumberFormat="1" applyFont="1" applyFill="1" applyBorder="1" applyAlignment="1" applyProtection="1">
      <alignment horizontal="center" vertical="center" wrapText="1"/>
      <protection hidden="1"/>
    </xf>
    <xf numFmtId="169" fontId="29" fillId="23" borderId="1" xfId="0" applyNumberFormat="1" applyFont="1" applyFill="1" applyBorder="1" applyAlignment="1" applyProtection="1">
      <alignment horizontal="center" vertical="center" wrapText="1"/>
      <protection hidden="1"/>
    </xf>
    <xf numFmtId="169" fontId="29" fillId="2" borderId="1" xfId="0" applyNumberFormat="1" applyFont="1" applyFill="1" applyBorder="1" applyAlignment="1" applyProtection="1">
      <alignment horizontal="center" vertical="center" wrapText="1"/>
      <protection hidden="1"/>
    </xf>
    <xf numFmtId="169" fontId="29" fillId="2" borderId="40" xfId="0" applyNumberFormat="1" applyFont="1" applyFill="1" applyBorder="1" applyAlignment="1" applyProtection="1">
      <alignment horizontal="center" vertical="center" wrapText="1"/>
      <protection hidden="1"/>
    </xf>
    <xf numFmtId="1" fontId="2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9" fillId="2" borderId="7" xfId="0" applyFont="1" applyFill="1" applyBorder="1" applyAlignment="1" applyProtection="1">
      <alignment horizontal="center" vertical="center" wrapText="1"/>
      <protection hidden="1"/>
    </xf>
    <xf numFmtId="0" fontId="29" fillId="2" borderId="8" xfId="0" applyFont="1" applyFill="1" applyBorder="1" applyAlignment="1" applyProtection="1">
      <alignment horizontal="center" vertical="center" wrapText="1"/>
      <protection hidden="1"/>
    </xf>
    <xf numFmtId="168" fontId="29" fillId="23" borderId="8" xfId="0" applyNumberFormat="1" applyFont="1" applyFill="1" applyBorder="1" applyAlignment="1" applyProtection="1">
      <alignment horizontal="center" vertical="center" wrapText="1"/>
      <protection hidden="1"/>
    </xf>
    <xf numFmtId="166" fontId="29" fillId="2" borderId="8" xfId="0" applyNumberFormat="1" applyFont="1" applyFill="1" applyBorder="1" applyAlignment="1" applyProtection="1">
      <alignment horizontal="center" vertical="center" wrapText="1"/>
      <protection hidden="1"/>
    </xf>
    <xf numFmtId="166" fontId="29" fillId="23" borderId="8" xfId="0" applyNumberFormat="1" applyFont="1" applyFill="1" applyBorder="1" applyAlignment="1" applyProtection="1">
      <alignment horizontal="center" vertical="center" wrapText="1"/>
      <protection hidden="1"/>
    </xf>
    <xf numFmtId="1" fontId="29" fillId="2" borderId="8" xfId="0" applyNumberFormat="1" applyFont="1" applyFill="1" applyBorder="1" applyAlignment="1" applyProtection="1">
      <alignment horizontal="center" vertical="center" wrapText="1"/>
      <protection hidden="1"/>
    </xf>
    <xf numFmtId="169" fontId="29" fillId="2" borderId="12" xfId="0" applyNumberFormat="1" applyFont="1" applyFill="1" applyBorder="1" applyAlignment="1" applyProtection="1">
      <alignment horizontal="center" vertical="center" wrapText="1"/>
      <protection hidden="1"/>
    </xf>
    <xf numFmtId="2" fontId="19" fillId="8" borderId="16" xfId="0" applyNumberFormat="1" applyFont="1" applyFill="1" applyBorder="1" applyAlignment="1" applyProtection="1">
      <alignment horizontal="center" wrapText="1"/>
      <protection hidden="1"/>
    </xf>
    <xf numFmtId="169" fontId="14" fillId="26" borderId="39" xfId="0" applyNumberFormat="1" applyFont="1" applyFill="1" applyBorder="1" applyAlignment="1" applyProtection="1">
      <alignment horizontal="center" vertical="center"/>
      <protection hidden="1"/>
    </xf>
    <xf numFmtId="169" fontId="14" fillId="26" borderId="1" xfId="0" applyNumberFormat="1" applyFont="1" applyFill="1" applyBorder="1" applyAlignment="1" applyProtection="1">
      <alignment horizontal="center" vertical="center"/>
      <protection hidden="1"/>
    </xf>
    <xf numFmtId="169" fontId="14" fillId="26" borderId="40" xfId="0" applyNumberFormat="1" applyFont="1" applyFill="1" applyBorder="1" applyAlignment="1" applyProtection="1">
      <alignment horizontal="center" vertical="center"/>
      <protection hidden="1"/>
    </xf>
    <xf numFmtId="2" fontId="10" fillId="26" borderId="39" xfId="0" applyNumberFormat="1" applyFont="1" applyFill="1" applyBorder="1" applyAlignment="1" applyProtection="1">
      <alignment horizontal="center" vertical="center"/>
      <protection hidden="1"/>
    </xf>
    <xf numFmtId="1" fontId="8" fillId="26" borderId="0" xfId="0" applyNumberFormat="1" applyFont="1" applyFill="1" applyBorder="1" applyAlignment="1" applyProtection="1">
      <alignment horizontal="center" vertical="center"/>
      <protection hidden="1"/>
    </xf>
    <xf numFmtId="9" fontId="8" fillId="26" borderId="40" xfId="1" applyFont="1" applyFill="1" applyBorder="1" applyAlignment="1" applyProtection="1">
      <alignment horizontal="center" vertical="center"/>
      <protection hidden="1"/>
    </xf>
    <xf numFmtId="0" fontId="64" fillId="12" borderId="14" xfId="0" applyFont="1" applyFill="1" applyBorder="1" applyAlignment="1" applyProtection="1">
      <alignment horizontal="center" vertical="center"/>
      <protection hidden="1"/>
    </xf>
    <xf numFmtId="0" fontId="64" fillId="12" borderId="15" xfId="0" applyFont="1" applyFill="1" applyBorder="1" applyAlignment="1" applyProtection="1">
      <alignment horizontal="center" vertical="center"/>
      <protection hidden="1"/>
    </xf>
    <xf numFmtId="0" fontId="64" fillId="12" borderId="16" xfId="0" applyFont="1" applyFill="1" applyBorder="1" applyAlignment="1" applyProtection="1">
      <alignment horizontal="center" vertical="center"/>
      <protection hidden="1"/>
    </xf>
    <xf numFmtId="0" fontId="8" fillId="18" borderId="24" xfId="0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 applyProtection="1">
      <alignment horizontal="center" vertical="center"/>
      <protection hidden="1"/>
    </xf>
    <xf numFmtId="2" fontId="1" fillId="0" borderId="8" xfId="0" applyNumberFormat="1" applyFont="1" applyBorder="1" applyAlignment="1" applyProtection="1">
      <alignment horizontal="center" vertical="center" wrapText="1"/>
      <protection hidden="1"/>
    </xf>
    <xf numFmtId="0" fontId="16" fillId="6" borderId="14" xfId="0" applyFont="1" applyFill="1" applyBorder="1" applyAlignment="1" applyProtection="1">
      <alignment horizontal="center" vertical="center"/>
      <protection hidden="1"/>
    </xf>
    <xf numFmtId="0" fontId="16" fillId="6" borderId="15" xfId="0" applyFont="1" applyFill="1" applyBorder="1" applyAlignment="1" applyProtection="1">
      <alignment horizontal="center" vertical="center"/>
      <protection hidden="1"/>
    </xf>
    <xf numFmtId="0" fontId="16" fillId="6" borderId="16" xfId="0" applyFont="1" applyFill="1" applyBorder="1" applyAlignment="1" applyProtection="1">
      <alignment horizontal="center" vertical="center"/>
      <protection hidden="1"/>
    </xf>
    <xf numFmtId="0" fontId="29" fillId="0" borderId="5" xfId="0" applyFont="1" applyBorder="1" applyAlignment="1" applyProtection="1">
      <alignment horizontal="center"/>
      <protection hidden="1"/>
    </xf>
    <xf numFmtId="0" fontId="28" fillId="0" borderId="5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29" fillId="16" borderId="49" xfId="0" applyFont="1" applyFill="1" applyBorder="1" applyAlignment="1">
      <alignment horizontal="center" vertical="center"/>
    </xf>
    <xf numFmtId="0" fontId="29" fillId="16" borderId="26" xfId="0" applyFont="1" applyFill="1" applyBorder="1" applyAlignment="1">
      <alignment horizontal="center" vertical="center"/>
    </xf>
    <xf numFmtId="0" fontId="29" fillId="16" borderId="47" xfId="0" applyFont="1" applyFill="1" applyBorder="1" applyAlignment="1">
      <alignment horizontal="center" vertical="center"/>
    </xf>
    <xf numFmtId="0" fontId="26" fillId="16" borderId="22" xfId="0" applyFont="1" applyFill="1" applyBorder="1" applyAlignment="1">
      <alignment horizontal="center" vertical="center"/>
    </xf>
    <xf numFmtId="0" fontId="26" fillId="16" borderId="23" xfId="0" applyFont="1" applyFill="1" applyBorder="1" applyAlignment="1">
      <alignment horizontal="center" vertical="center"/>
    </xf>
    <xf numFmtId="0" fontId="26" fillId="16" borderId="24" xfId="0" applyFont="1" applyFill="1" applyBorder="1" applyAlignment="1">
      <alignment horizontal="center" vertical="center"/>
    </xf>
    <xf numFmtId="0" fontId="26" fillId="16" borderId="36" xfId="0" applyFont="1" applyFill="1" applyBorder="1" applyAlignment="1">
      <alignment horizontal="center" vertical="center"/>
    </xf>
    <xf numFmtId="0" fontId="26" fillId="16" borderId="21" xfId="0" applyFont="1" applyFill="1" applyBorder="1" applyAlignment="1">
      <alignment horizontal="center" vertical="center"/>
    </xf>
    <xf numFmtId="0" fontId="26" fillId="16" borderId="6" xfId="0" applyFont="1" applyFill="1" applyBorder="1" applyAlignment="1">
      <alignment horizontal="center" vertical="center"/>
    </xf>
    <xf numFmtId="49" fontId="29" fillId="16" borderId="57" xfId="0" applyNumberFormat="1" applyFont="1" applyFill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5" fillId="12" borderId="22" xfId="0" applyFont="1" applyFill="1" applyBorder="1" applyAlignment="1" applyProtection="1">
      <alignment horizontal="center" vertical="center" wrapText="1"/>
      <protection hidden="1"/>
    </xf>
    <xf numFmtId="0" fontId="25" fillId="12" borderId="30" xfId="0" applyFont="1" applyFill="1" applyBorder="1" applyAlignment="1" applyProtection="1">
      <alignment horizontal="center" vertical="center" wrapText="1"/>
      <protection hidden="1"/>
    </xf>
    <xf numFmtId="0" fontId="25" fillId="12" borderId="23" xfId="0" applyFont="1" applyFill="1" applyBorder="1" applyAlignment="1" applyProtection="1">
      <alignment horizontal="center" vertical="center" wrapText="1"/>
      <protection hidden="1"/>
    </xf>
    <xf numFmtId="0" fontId="25" fillId="12" borderId="21" xfId="0" applyFont="1" applyFill="1" applyBorder="1" applyAlignment="1" applyProtection="1">
      <alignment horizontal="center" vertical="center" wrapText="1"/>
      <protection hidden="1"/>
    </xf>
    <xf numFmtId="0" fontId="25" fillId="12" borderId="38" xfId="0" applyFont="1" applyFill="1" applyBorder="1" applyAlignment="1" applyProtection="1">
      <alignment horizontal="center" vertical="center" wrapText="1"/>
      <protection hidden="1"/>
    </xf>
    <xf numFmtId="0" fontId="25" fillId="12" borderId="6" xfId="0" applyFont="1" applyFill="1" applyBorder="1" applyAlignment="1" applyProtection="1">
      <alignment horizontal="center" vertical="center" wrapText="1"/>
      <protection hidden="1"/>
    </xf>
    <xf numFmtId="0" fontId="1" fillId="18" borderId="59" xfId="0" applyFont="1" applyFill="1" applyBorder="1" applyAlignment="1">
      <alignment horizontal="center" vertical="center" wrapText="1"/>
    </xf>
    <xf numFmtId="0" fontId="1" fillId="18" borderId="60" xfId="0" applyFont="1" applyFill="1" applyBorder="1" applyAlignment="1">
      <alignment horizontal="center" vertical="center" wrapText="1"/>
    </xf>
    <xf numFmtId="0" fontId="1" fillId="18" borderId="61" xfId="0" applyFont="1" applyFill="1" applyBorder="1" applyAlignment="1">
      <alignment horizontal="center" vertical="center" wrapText="1"/>
    </xf>
    <xf numFmtId="49" fontId="26" fillId="6" borderId="41" xfId="0" applyNumberFormat="1" applyFont="1" applyFill="1" applyBorder="1" applyAlignment="1" applyProtection="1">
      <alignment horizontal="center" vertical="center"/>
      <protection hidden="1"/>
    </xf>
    <xf numFmtId="49" fontId="26" fillId="6" borderId="7" xfId="0" applyNumberFormat="1" applyFont="1" applyFill="1" applyBorder="1" applyAlignment="1" applyProtection="1">
      <alignment horizontal="center" vertical="center"/>
      <protection hidden="1"/>
    </xf>
    <xf numFmtId="49" fontId="26" fillId="6" borderId="20" xfId="0" applyNumberFormat="1" applyFont="1" applyFill="1" applyBorder="1" applyAlignment="1" applyProtection="1">
      <alignment horizontal="center" vertical="center" wrapText="1"/>
      <protection hidden="1"/>
    </xf>
    <xf numFmtId="49" fontId="26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26" fillId="6" borderId="26" xfId="2" applyNumberFormat="1" applyFont="1" applyFill="1" applyBorder="1" applyAlignment="1" applyProtection="1">
      <alignment horizontal="center" vertical="center"/>
      <protection hidden="1"/>
    </xf>
    <xf numFmtId="49" fontId="26" fillId="6" borderId="47" xfId="2" applyNumberFormat="1" applyFont="1" applyFill="1" applyBorder="1" applyAlignment="1" applyProtection="1">
      <alignment horizontal="center" vertical="center"/>
      <protection hidden="1"/>
    </xf>
    <xf numFmtId="49" fontId="26" fillId="6" borderId="20" xfId="2" applyNumberFormat="1" applyFont="1" applyFill="1" applyBorder="1" applyAlignment="1" applyProtection="1">
      <alignment horizontal="center" vertical="center" wrapText="1"/>
      <protection hidden="1"/>
    </xf>
    <xf numFmtId="49" fontId="26" fillId="6" borderId="8" xfId="2" applyNumberFormat="1" applyFont="1" applyFill="1" applyBorder="1" applyAlignment="1" applyProtection="1">
      <alignment horizontal="center" vertical="center" wrapText="1"/>
      <protection hidden="1"/>
    </xf>
    <xf numFmtId="0" fontId="26" fillId="6" borderId="5" xfId="0" applyFont="1" applyFill="1" applyBorder="1" applyAlignment="1" applyProtection="1">
      <alignment horizontal="center" vertical="center"/>
      <protection hidden="1"/>
    </xf>
    <xf numFmtId="0" fontId="26" fillId="6" borderId="31" xfId="0" applyFont="1" applyFill="1" applyBorder="1" applyAlignment="1" applyProtection="1">
      <alignment horizontal="center" vertical="center"/>
      <protection hidden="1"/>
    </xf>
    <xf numFmtId="0" fontId="26" fillId="18" borderId="5" xfId="0" applyFont="1" applyFill="1" applyBorder="1" applyAlignment="1" applyProtection="1">
      <alignment horizontal="center" vertical="center" wrapText="1"/>
      <protection hidden="1"/>
    </xf>
    <xf numFmtId="0" fontId="26" fillId="18" borderId="31" xfId="0" applyFont="1" applyFill="1" applyBorder="1" applyAlignment="1" applyProtection="1">
      <alignment horizontal="center" vertical="center" wrapText="1"/>
      <protection hidden="1"/>
    </xf>
    <xf numFmtId="49" fontId="26" fillId="6" borderId="5" xfId="2" applyNumberFormat="1" applyFont="1" applyFill="1" applyBorder="1" applyAlignment="1" applyProtection="1">
      <alignment horizontal="center" vertical="center" wrapText="1"/>
      <protection hidden="1"/>
    </xf>
    <xf numFmtId="49" fontId="26" fillId="6" borderId="31" xfId="2" applyNumberFormat="1" applyFont="1" applyFill="1" applyBorder="1" applyAlignment="1" applyProtection="1">
      <alignment horizontal="center" vertical="center" wrapText="1"/>
      <protection hidden="1"/>
    </xf>
    <xf numFmtId="0" fontId="80" fillId="0" borderId="55" xfId="0" applyFont="1" applyBorder="1" applyAlignment="1" applyProtection="1">
      <alignment horizontal="center" vertical="center" wrapText="1"/>
      <protection hidden="1"/>
    </xf>
    <xf numFmtId="0" fontId="80" fillId="0" borderId="25" xfId="0" applyFont="1" applyBorder="1" applyAlignment="1" applyProtection="1">
      <alignment horizontal="center" vertical="center" wrapText="1"/>
      <protection hidden="1"/>
    </xf>
    <xf numFmtId="2" fontId="26" fillId="13" borderId="5" xfId="3" applyFont="1" applyBorder="1" applyAlignment="1">
      <alignment horizontal="center" vertical="center" wrapText="1"/>
      <protection locked="0"/>
    </xf>
    <xf numFmtId="2" fontId="26" fillId="13" borderId="31" xfId="3" applyFont="1" applyBorder="1" applyAlignment="1">
      <alignment horizontal="center" vertical="center" wrapText="1"/>
      <protection locked="0"/>
    </xf>
    <xf numFmtId="0" fontId="26" fillId="23" borderId="3" xfId="0" applyFont="1" applyFill="1" applyBorder="1" applyAlignment="1" applyProtection="1">
      <alignment horizontal="center" vertical="center" wrapText="1"/>
      <protection hidden="1"/>
    </xf>
    <xf numFmtId="0" fontId="26" fillId="23" borderId="13" xfId="0" applyFont="1" applyFill="1" applyBorder="1" applyAlignment="1" applyProtection="1">
      <alignment horizontal="center" vertical="center" wrapText="1"/>
      <protection hidden="1"/>
    </xf>
    <xf numFmtId="0" fontId="26" fillId="6" borderId="5" xfId="0" applyFont="1" applyFill="1" applyBorder="1" applyAlignment="1" applyProtection="1">
      <alignment horizontal="center" vertical="center" wrapText="1"/>
      <protection hidden="1"/>
    </xf>
    <xf numFmtId="0" fontId="26" fillId="6" borderId="31" xfId="0" applyFont="1" applyFill="1" applyBorder="1" applyAlignment="1" applyProtection="1">
      <alignment horizontal="center" vertical="center" wrapText="1"/>
      <protection hidden="1"/>
    </xf>
    <xf numFmtId="0" fontId="30" fillId="23" borderId="5" xfId="0" applyFont="1" applyFill="1" applyBorder="1" applyAlignment="1" applyProtection="1">
      <alignment horizontal="center" vertical="center"/>
      <protection hidden="1"/>
    </xf>
    <xf numFmtId="0" fontId="30" fillId="23" borderId="1" xfId="0" applyFont="1" applyFill="1" applyBorder="1" applyAlignment="1" applyProtection="1">
      <alignment horizontal="center" vertical="center"/>
      <protection hidden="1"/>
    </xf>
    <xf numFmtId="0" fontId="30" fillId="23" borderId="8" xfId="0" applyFont="1" applyFill="1" applyBorder="1" applyAlignment="1" applyProtection="1">
      <alignment horizontal="center" vertical="center"/>
      <protection hidden="1"/>
    </xf>
    <xf numFmtId="0" fontId="26" fillId="6" borderId="4" xfId="0" applyFont="1" applyFill="1" applyBorder="1" applyAlignment="1" applyProtection="1">
      <alignment horizontal="center" vertical="center"/>
      <protection hidden="1"/>
    </xf>
    <xf numFmtId="0" fontId="26" fillId="6" borderId="43" xfId="0" applyFont="1" applyFill="1" applyBorder="1" applyAlignment="1" applyProtection="1">
      <alignment horizontal="center" vertical="center"/>
      <protection hidden="1"/>
    </xf>
    <xf numFmtId="2" fontId="26" fillId="13" borderId="37" xfId="3" applyFont="1" applyBorder="1" applyAlignment="1">
      <alignment horizontal="center" vertical="center" wrapText="1"/>
      <protection locked="0"/>
    </xf>
    <xf numFmtId="2" fontId="26" fillId="13" borderId="44" xfId="3" applyFont="1" applyBorder="1" applyAlignment="1">
      <alignment horizontal="center" vertical="center" wrapText="1"/>
      <protection locked="0"/>
    </xf>
    <xf numFmtId="49" fontId="26" fillId="6" borderId="4" xfId="2" applyNumberFormat="1" applyFont="1" applyFill="1" applyBorder="1" applyAlignment="1" applyProtection="1">
      <alignment horizontal="center" vertical="center" wrapText="1"/>
      <protection hidden="1"/>
    </xf>
    <xf numFmtId="49" fontId="26" fillId="6" borderId="43" xfId="2" applyNumberFormat="1" applyFont="1" applyFill="1" applyBorder="1" applyAlignment="1" applyProtection="1">
      <alignment horizontal="center" vertical="center" wrapText="1"/>
      <protection hidden="1"/>
    </xf>
    <xf numFmtId="0" fontId="29" fillId="18" borderId="24" xfId="0" applyFont="1" applyFill="1" applyBorder="1" applyAlignment="1" applyProtection="1">
      <alignment horizontal="center" vertical="center" wrapText="1"/>
      <protection hidden="1"/>
    </xf>
    <xf numFmtId="0" fontId="29" fillId="18" borderId="22" xfId="0" applyFont="1" applyFill="1" applyBorder="1" applyAlignment="1" applyProtection="1">
      <alignment horizontal="center" vertical="center" wrapText="1"/>
      <protection hidden="1"/>
    </xf>
    <xf numFmtId="0" fontId="29" fillId="18" borderId="21" xfId="0" applyFont="1" applyFill="1" applyBorder="1" applyAlignment="1" applyProtection="1">
      <alignment horizontal="center" vertical="center" wrapText="1"/>
      <protection hidden="1"/>
    </xf>
    <xf numFmtId="14" fontId="28" fillId="23" borderId="57" xfId="0" applyNumberFormat="1" applyFont="1" applyFill="1" applyBorder="1" applyAlignment="1" applyProtection="1">
      <alignment horizontal="center" vertical="center"/>
      <protection hidden="1"/>
    </xf>
    <xf numFmtId="14" fontId="28" fillId="23" borderId="50" xfId="0" applyNumberFormat="1" applyFont="1" applyFill="1" applyBorder="1" applyAlignment="1" applyProtection="1">
      <alignment horizontal="center" vertical="center"/>
      <protection hidden="1"/>
    </xf>
    <xf numFmtId="14" fontId="28" fillId="23" borderId="48" xfId="0" applyNumberFormat="1" applyFont="1" applyFill="1" applyBorder="1" applyAlignment="1" applyProtection="1">
      <alignment horizontal="center" vertical="center"/>
      <protection hidden="1"/>
    </xf>
    <xf numFmtId="0" fontId="28" fillId="23" borderId="57" xfId="0" applyFont="1" applyFill="1" applyBorder="1" applyAlignment="1" applyProtection="1">
      <alignment horizontal="center" vertical="center"/>
      <protection hidden="1"/>
    </xf>
    <xf numFmtId="0" fontId="28" fillId="23" borderId="50" xfId="0" applyFont="1" applyFill="1" applyBorder="1" applyAlignment="1" applyProtection="1">
      <alignment horizontal="center" vertical="center"/>
      <protection hidden="1"/>
    </xf>
    <xf numFmtId="0" fontId="28" fillId="23" borderId="48" xfId="0" applyFont="1" applyFill="1" applyBorder="1" applyAlignment="1" applyProtection="1">
      <alignment horizontal="center" vertical="center"/>
      <protection hidden="1"/>
    </xf>
    <xf numFmtId="168" fontId="28" fillId="23" borderId="49" xfId="0" applyNumberFormat="1" applyFont="1" applyFill="1" applyBorder="1" applyAlignment="1" applyProtection="1">
      <alignment horizontal="center" vertical="center"/>
      <protection hidden="1"/>
    </xf>
    <xf numFmtId="168" fontId="28" fillId="23" borderId="26" xfId="0" applyNumberFormat="1" applyFont="1" applyFill="1" applyBorder="1" applyAlignment="1" applyProtection="1">
      <alignment horizontal="center" vertical="center"/>
      <protection hidden="1"/>
    </xf>
    <xf numFmtId="168" fontId="28" fillId="23" borderId="47" xfId="0" applyNumberFormat="1" applyFont="1" applyFill="1" applyBorder="1" applyAlignment="1" applyProtection="1">
      <alignment horizontal="center" vertical="center"/>
      <protection hidden="1"/>
    </xf>
    <xf numFmtId="0" fontId="28" fillId="23" borderId="71" xfId="0" applyFont="1" applyFill="1" applyBorder="1" applyAlignment="1" applyProtection="1">
      <alignment horizontal="center" vertical="center"/>
      <protection hidden="1"/>
    </xf>
    <xf numFmtId="0" fontId="28" fillId="23" borderId="28" xfId="0" applyFont="1" applyFill="1" applyBorder="1" applyAlignment="1" applyProtection="1">
      <alignment horizontal="center" vertical="center"/>
      <protection hidden="1"/>
    </xf>
    <xf numFmtId="0" fontId="28" fillId="23" borderId="72" xfId="0" applyFont="1" applyFill="1" applyBorder="1" applyAlignment="1" applyProtection="1">
      <alignment horizontal="center" vertical="center"/>
      <protection hidden="1"/>
    </xf>
    <xf numFmtId="0" fontId="26" fillId="17" borderId="22" xfId="0" applyFont="1" applyFill="1" applyBorder="1" applyAlignment="1">
      <alignment horizontal="center" vertical="center"/>
    </xf>
    <xf numFmtId="0" fontId="26" fillId="17" borderId="23" xfId="0" applyFont="1" applyFill="1" applyBorder="1" applyAlignment="1">
      <alignment horizontal="center" vertical="center"/>
    </xf>
    <xf numFmtId="0" fontId="26" fillId="17" borderId="24" xfId="0" applyFont="1" applyFill="1" applyBorder="1" applyAlignment="1">
      <alignment horizontal="center" vertical="center"/>
    </xf>
    <xf numFmtId="0" fontId="26" fillId="17" borderId="36" xfId="0" applyFont="1" applyFill="1" applyBorder="1" applyAlignment="1">
      <alignment horizontal="center" vertical="center"/>
    </xf>
    <xf numFmtId="0" fontId="26" fillId="17" borderId="21" xfId="0" applyFont="1" applyFill="1" applyBorder="1" applyAlignment="1">
      <alignment horizontal="center" vertical="center"/>
    </xf>
    <xf numFmtId="0" fontId="26" fillId="17" borderId="6" xfId="0" applyFont="1" applyFill="1" applyBorder="1" applyAlignment="1">
      <alignment horizontal="center" vertical="center"/>
    </xf>
    <xf numFmtId="0" fontId="26" fillId="6" borderId="4" xfId="0" applyFont="1" applyFill="1" applyBorder="1" applyAlignment="1" applyProtection="1">
      <alignment horizontal="center" vertical="center" wrapText="1"/>
      <protection hidden="1"/>
    </xf>
    <xf numFmtId="0" fontId="26" fillId="6" borderId="43" xfId="0" applyFont="1" applyFill="1" applyBorder="1" applyAlignment="1" applyProtection="1">
      <alignment horizontal="center" vertical="center" wrapText="1"/>
      <protection hidden="1"/>
    </xf>
    <xf numFmtId="0" fontId="26" fillId="6" borderId="37" xfId="0" applyFont="1" applyFill="1" applyBorder="1" applyAlignment="1" applyProtection="1">
      <alignment horizontal="center" vertical="center" wrapText="1"/>
      <protection hidden="1"/>
    </xf>
    <xf numFmtId="0" fontId="26" fillId="6" borderId="44" xfId="0" applyFont="1" applyFill="1" applyBorder="1" applyAlignment="1" applyProtection="1">
      <alignment horizontal="center" vertical="center" wrapText="1"/>
      <protection hidden="1"/>
    </xf>
    <xf numFmtId="0" fontId="28" fillId="23" borderId="37" xfId="0" applyFont="1" applyFill="1" applyBorder="1" applyAlignment="1" applyProtection="1">
      <alignment horizontal="center" vertical="center" wrapText="1"/>
      <protection hidden="1"/>
    </xf>
    <xf numFmtId="0" fontId="8" fillId="23" borderId="40" xfId="0" applyFont="1" applyFill="1" applyBorder="1" applyAlignment="1" applyProtection="1">
      <alignment horizontal="center" vertical="center" wrapText="1"/>
      <protection hidden="1"/>
    </xf>
    <xf numFmtId="0" fontId="8" fillId="23" borderId="12" xfId="0" applyFont="1" applyFill="1" applyBorder="1" applyAlignment="1" applyProtection="1">
      <alignment horizontal="center" vertical="center" wrapText="1"/>
      <protection hidden="1"/>
    </xf>
    <xf numFmtId="0" fontId="28" fillId="23" borderId="62" xfId="0" applyFont="1" applyFill="1" applyBorder="1" applyAlignment="1" applyProtection="1">
      <alignment horizontal="center" vertical="center" wrapText="1"/>
      <protection hidden="1"/>
    </xf>
    <xf numFmtId="0" fontId="8" fillId="23" borderId="3" xfId="0" applyFont="1" applyFill="1" applyBorder="1" applyAlignment="1" applyProtection="1">
      <alignment horizontal="center" vertical="center" wrapText="1"/>
      <protection hidden="1"/>
    </xf>
    <xf numFmtId="0" fontId="8" fillId="23" borderId="13" xfId="0" applyFont="1" applyFill="1" applyBorder="1" applyAlignment="1" applyProtection="1">
      <alignment horizontal="center" vertical="center" wrapText="1"/>
      <protection hidden="1"/>
    </xf>
    <xf numFmtId="168" fontId="28" fillId="23" borderId="5" xfId="0" applyNumberFormat="1" applyFont="1" applyFill="1" applyBorder="1" applyAlignment="1" applyProtection="1">
      <alignment horizontal="center" vertical="center" wrapText="1"/>
      <protection hidden="1"/>
    </xf>
    <xf numFmtId="0" fontId="8" fillId="23" borderId="1" xfId="0" applyFont="1" applyFill="1" applyBorder="1" applyAlignment="1" applyProtection="1">
      <alignment horizontal="center" vertical="center" wrapText="1"/>
      <protection hidden="1"/>
    </xf>
    <xf numFmtId="0" fontId="8" fillId="23" borderId="8" xfId="0" applyFont="1" applyFill="1" applyBorder="1" applyAlignment="1" applyProtection="1">
      <alignment horizontal="center" vertical="center" wrapText="1"/>
      <protection hidden="1"/>
    </xf>
    <xf numFmtId="1" fontId="28" fillId="23" borderId="62" xfId="0" applyNumberFormat="1" applyFont="1" applyFill="1" applyBorder="1" applyAlignment="1" applyProtection="1">
      <alignment horizontal="center" vertical="center" wrapText="1"/>
      <protection hidden="1"/>
    </xf>
    <xf numFmtId="1" fontId="8" fillId="23" borderId="3" xfId="0" applyNumberFormat="1" applyFont="1" applyFill="1" applyBorder="1" applyAlignment="1" applyProtection="1">
      <alignment horizontal="center" vertical="center" wrapText="1"/>
      <protection hidden="1"/>
    </xf>
    <xf numFmtId="1" fontId="8" fillId="23" borderId="13" xfId="0" applyNumberFormat="1" applyFont="1" applyFill="1" applyBorder="1" applyAlignment="1" applyProtection="1">
      <alignment horizontal="center" vertical="center" wrapText="1"/>
      <protection hidden="1"/>
    </xf>
    <xf numFmtId="168" fontId="28" fillId="23" borderId="37" xfId="0" applyNumberFormat="1" applyFont="1" applyFill="1" applyBorder="1" applyAlignment="1" applyProtection="1">
      <alignment horizontal="center" vertical="center" wrapText="1"/>
      <protection hidden="1"/>
    </xf>
    <xf numFmtId="14" fontId="28" fillId="23" borderId="37" xfId="0" applyNumberFormat="1" applyFont="1" applyFill="1" applyBorder="1" applyAlignment="1" applyProtection="1">
      <alignment horizontal="center" vertical="center" wrapText="1"/>
      <protection hidden="1"/>
    </xf>
    <xf numFmtId="3" fontId="29" fillId="16" borderId="57" xfId="0" applyNumberFormat="1" applyFont="1" applyFill="1" applyBorder="1" applyAlignment="1">
      <alignment horizontal="center" vertical="center"/>
    </xf>
    <xf numFmtId="3" fontId="29" fillId="16" borderId="50" xfId="0" applyNumberFormat="1" applyFont="1" applyFill="1" applyBorder="1" applyAlignment="1">
      <alignment horizontal="center" vertical="center"/>
    </xf>
    <xf numFmtId="3" fontId="29" fillId="16" borderId="48" xfId="0" applyNumberFormat="1" applyFont="1" applyFill="1" applyBorder="1" applyAlignment="1">
      <alignment horizontal="center" vertical="center"/>
    </xf>
    <xf numFmtId="3" fontId="29" fillId="16" borderId="57" xfId="0" applyNumberFormat="1" applyFont="1" applyFill="1" applyBorder="1" applyAlignment="1">
      <alignment horizontal="center" vertical="center" wrapText="1"/>
    </xf>
    <xf numFmtId="0" fontId="25" fillId="12" borderId="22" xfId="0" applyFont="1" applyFill="1" applyBorder="1" applyAlignment="1" applyProtection="1">
      <alignment horizontal="center" vertical="center"/>
      <protection hidden="1"/>
    </xf>
    <xf numFmtId="0" fontId="25" fillId="12" borderId="30" xfId="0" applyFont="1" applyFill="1" applyBorder="1" applyAlignment="1" applyProtection="1">
      <alignment horizontal="center" vertical="center"/>
      <protection hidden="1"/>
    </xf>
    <xf numFmtId="0" fontId="25" fillId="12" borderId="23" xfId="0" applyFont="1" applyFill="1" applyBorder="1" applyAlignment="1" applyProtection="1">
      <alignment horizontal="center" vertical="center"/>
      <protection hidden="1"/>
    </xf>
    <xf numFmtId="0" fontId="25" fillId="12" borderId="21" xfId="0" applyFont="1" applyFill="1" applyBorder="1" applyAlignment="1" applyProtection="1">
      <alignment horizontal="center" vertical="center"/>
      <protection hidden="1"/>
    </xf>
    <xf numFmtId="0" fontId="25" fillId="12" borderId="38" xfId="0" applyFont="1" applyFill="1" applyBorder="1" applyAlignment="1" applyProtection="1">
      <alignment horizontal="center" vertical="center"/>
      <protection hidden="1"/>
    </xf>
    <xf numFmtId="0" fontId="25" fillId="12" borderId="6" xfId="0" applyFont="1" applyFill="1" applyBorder="1" applyAlignment="1" applyProtection="1">
      <alignment horizontal="center" vertical="center"/>
      <protection hidden="1"/>
    </xf>
    <xf numFmtId="0" fontId="25" fillId="12" borderId="24" xfId="0" applyFont="1" applyFill="1" applyBorder="1" applyAlignment="1" applyProtection="1">
      <alignment horizontal="center" vertical="center" wrapText="1"/>
      <protection hidden="1"/>
    </xf>
    <xf numFmtId="0" fontId="25" fillId="12" borderId="0" xfId="0" applyFont="1" applyFill="1" applyAlignment="1" applyProtection="1">
      <alignment horizontal="center" vertical="center" wrapText="1"/>
      <protection hidden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25" fillId="12" borderId="14" xfId="0" applyFont="1" applyFill="1" applyBorder="1" applyAlignment="1" applyProtection="1">
      <alignment horizontal="center" vertical="center"/>
      <protection hidden="1"/>
    </xf>
    <xf numFmtId="0" fontId="25" fillId="12" borderId="15" xfId="0" applyFont="1" applyFill="1" applyBorder="1" applyAlignment="1" applyProtection="1">
      <alignment horizontal="center" vertical="center"/>
      <protection hidden="1"/>
    </xf>
    <xf numFmtId="0" fontId="25" fillId="12" borderId="16" xfId="0" applyFont="1" applyFill="1" applyBorder="1" applyAlignment="1" applyProtection="1">
      <alignment horizontal="center" vertical="center"/>
      <protection hidden="1"/>
    </xf>
    <xf numFmtId="0" fontId="29" fillId="18" borderId="32" xfId="0" applyFont="1" applyFill="1" applyBorder="1" applyAlignment="1" applyProtection="1">
      <alignment horizontal="center" vertical="center" wrapText="1"/>
      <protection hidden="1"/>
    </xf>
    <xf numFmtId="0" fontId="29" fillId="18" borderId="54" xfId="0" applyFont="1" applyFill="1" applyBorder="1" applyAlignment="1" applyProtection="1">
      <alignment horizontal="center" vertical="center" wrapText="1"/>
      <protection hidden="1"/>
    </xf>
    <xf numFmtId="0" fontId="29" fillId="18" borderId="33" xfId="0" applyFont="1" applyFill="1" applyBorder="1" applyAlignment="1" applyProtection="1">
      <alignment horizontal="center" vertical="center" wrapText="1"/>
      <protection hidden="1"/>
    </xf>
    <xf numFmtId="0" fontId="26" fillId="6" borderId="22" xfId="0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0" fontId="26" fillId="6" borderId="21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3" fontId="28" fillId="23" borderId="62" xfId="0" applyNumberFormat="1" applyFont="1" applyFill="1" applyBorder="1" applyAlignment="1" applyProtection="1">
      <alignment horizontal="center" vertical="center" wrapText="1"/>
      <protection hidden="1"/>
    </xf>
    <xf numFmtId="0" fontId="27" fillId="12" borderId="14" xfId="0" applyFont="1" applyFill="1" applyBorder="1" applyAlignment="1" applyProtection="1">
      <alignment horizontal="center" vertical="center"/>
      <protection hidden="1"/>
    </xf>
    <xf numFmtId="0" fontId="27" fillId="12" borderId="15" xfId="0" applyFont="1" applyFill="1" applyBorder="1" applyAlignment="1" applyProtection="1">
      <alignment horizontal="center" vertical="center"/>
      <protection hidden="1"/>
    </xf>
    <xf numFmtId="0" fontId="27" fillId="12" borderId="16" xfId="0" applyFont="1" applyFill="1" applyBorder="1" applyAlignment="1" applyProtection="1">
      <alignment horizontal="center" vertical="center"/>
      <protection hidden="1"/>
    </xf>
    <xf numFmtId="0" fontId="26" fillId="6" borderId="32" xfId="0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/>
    </xf>
    <xf numFmtId="0" fontId="26" fillId="6" borderId="37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9" fillId="16" borderId="56" xfId="0" applyFont="1" applyFill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6" fillId="6" borderId="14" xfId="0" applyFont="1" applyFill="1" applyBorder="1" applyAlignment="1" applyProtection="1">
      <alignment horizontal="center" vertical="center"/>
      <protection hidden="1"/>
    </xf>
    <xf numFmtId="0" fontId="26" fillId="6" borderId="15" xfId="0" applyFont="1" applyFill="1" applyBorder="1" applyAlignment="1" applyProtection="1">
      <alignment horizontal="center" vertical="center"/>
      <protection hidden="1"/>
    </xf>
    <xf numFmtId="0" fontId="26" fillId="6" borderId="16" xfId="0" applyFont="1" applyFill="1" applyBorder="1" applyAlignment="1" applyProtection="1">
      <alignment horizontal="center" vertical="center"/>
      <protection hidden="1"/>
    </xf>
    <xf numFmtId="0" fontId="30" fillId="23" borderId="3" xfId="0" applyFont="1" applyFill="1" applyBorder="1" applyAlignment="1" applyProtection="1">
      <alignment horizontal="center" vertical="center"/>
      <protection hidden="1"/>
    </xf>
    <xf numFmtId="0" fontId="29" fillId="16" borderId="51" xfId="0" applyFont="1" applyFill="1" applyBorder="1" applyAlignment="1">
      <alignment horizontal="center" vertical="center" wrapText="1"/>
    </xf>
    <xf numFmtId="0" fontId="29" fillId="16" borderId="46" xfId="0" applyFont="1" applyFill="1" applyBorder="1" applyAlignment="1">
      <alignment horizontal="center" vertical="center" wrapText="1"/>
    </xf>
    <xf numFmtId="3" fontId="29" fillId="16" borderId="52" xfId="0" applyNumberFormat="1" applyFont="1" applyFill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6" fillId="23" borderId="1" xfId="0" applyFont="1" applyFill="1" applyBorder="1" applyAlignment="1" applyProtection="1">
      <alignment horizontal="center" vertical="center" wrapText="1"/>
      <protection hidden="1"/>
    </xf>
    <xf numFmtId="0" fontId="29" fillId="0" borderId="32" xfId="0" applyFont="1" applyBorder="1" applyAlignment="1" applyProtection="1">
      <alignment horizontal="center"/>
      <protection hidden="1"/>
    </xf>
    <xf numFmtId="0" fontId="29" fillId="0" borderId="54" xfId="0" applyFont="1" applyBorder="1" applyAlignment="1" applyProtection="1">
      <alignment horizontal="center"/>
      <protection hidden="1"/>
    </xf>
    <xf numFmtId="0" fontId="29" fillId="0" borderId="33" xfId="0" applyFont="1" applyBorder="1" applyAlignment="1" applyProtection="1">
      <alignment horizontal="center"/>
      <protection hidden="1"/>
    </xf>
    <xf numFmtId="0" fontId="67" fillId="0" borderId="32" xfId="0" applyFont="1" applyBorder="1" applyAlignment="1" applyProtection="1">
      <alignment horizontal="left" vertical="center" wrapText="1"/>
      <protection hidden="1"/>
    </xf>
    <xf numFmtId="0" fontId="67" fillId="0" borderId="54" xfId="0" applyFont="1" applyBorder="1" applyAlignment="1" applyProtection="1">
      <alignment horizontal="left" vertical="center" wrapText="1"/>
      <protection hidden="1"/>
    </xf>
    <xf numFmtId="0" fontId="67" fillId="0" borderId="33" xfId="0" applyFont="1" applyBorder="1" applyAlignment="1" applyProtection="1">
      <alignment horizontal="left" vertical="center" wrapText="1"/>
      <protection hidden="1"/>
    </xf>
    <xf numFmtId="0" fontId="30" fillId="23" borderId="18" xfId="0" applyFont="1" applyFill="1" applyBorder="1" applyAlignment="1" applyProtection="1">
      <alignment horizontal="center" vertical="center"/>
      <protection hidden="1"/>
    </xf>
    <xf numFmtId="0" fontId="26" fillId="6" borderId="30" xfId="0" applyFont="1" applyFill="1" applyBorder="1" applyAlignment="1">
      <alignment horizontal="center" vertical="center" wrapText="1"/>
    </xf>
    <xf numFmtId="0" fontId="26" fillId="6" borderId="38" xfId="0" applyFont="1" applyFill="1" applyBorder="1" applyAlignment="1">
      <alignment horizontal="center" vertical="center" wrapText="1"/>
    </xf>
    <xf numFmtId="0" fontId="26" fillId="16" borderId="22" xfId="0" applyFont="1" applyFill="1" applyBorder="1" applyAlignment="1">
      <alignment horizontal="center" vertical="center" wrapText="1"/>
    </xf>
    <xf numFmtId="0" fontId="26" fillId="16" borderId="23" xfId="0" applyFont="1" applyFill="1" applyBorder="1" applyAlignment="1">
      <alignment horizontal="center" vertical="center" wrapText="1"/>
    </xf>
    <xf numFmtId="0" fontId="26" fillId="16" borderId="24" xfId="0" applyFont="1" applyFill="1" applyBorder="1" applyAlignment="1">
      <alignment horizontal="center" vertical="center" wrapText="1"/>
    </xf>
    <xf numFmtId="0" fontId="26" fillId="16" borderId="36" xfId="0" applyFont="1" applyFill="1" applyBorder="1" applyAlignment="1">
      <alignment horizontal="center" vertical="center" wrapText="1"/>
    </xf>
    <xf numFmtId="0" fontId="26" fillId="16" borderId="21" xfId="0" applyFont="1" applyFill="1" applyBorder="1" applyAlignment="1">
      <alignment horizontal="center" vertical="center" wrapText="1"/>
    </xf>
    <xf numFmtId="0" fontId="26" fillId="16" borderId="6" xfId="0" applyFont="1" applyFill="1" applyBorder="1" applyAlignment="1">
      <alignment horizontal="center" vertical="center" wrapText="1"/>
    </xf>
    <xf numFmtId="0" fontId="29" fillId="16" borderId="49" xfId="0" applyFont="1" applyFill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2" fontId="25" fillId="13" borderId="22" xfId="3" applyFont="1" applyBorder="1" applyAlignment="1">
      <alignment horizontal="center" vertical="center" wrapText="1"/>
      <protection locked="0"/>
    </xf>
    <xf numFmtId="2" fontId="25" fillId="13" borderId="23" xfId="3" applyFont="1" applyBorder="1" applyAlignment="1">
      <alignment horizontal="center" vertical="center" wrapText="1"/>
      <protection locked="0"/>
    </xf>
    <xf numFmtId="2" fontId="25" fillId="13" borderId="24" xfId="3" applyFont="1" applyBorder="1" applyAlignment="1">
      <alignment horizontal="center" vertical="center" wrapText="1"/>
      <protection locked="0"/>
    </xf>
    <xf numFmtId="2" fontId="25" fillId="13" borderId="36" xfId="3" applyFont="1" applyBorder="1" applyAlignment="1">
      <alignment horizontal="center" vertical="center" wrapText="1"/>
      <protection locked="0"/>
    </xf>
    <xf numFmtId="2" fontId="8" fillId="2" borderId="14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16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59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63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60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25" fillId="3" borderId="21" xfId="0" applyNumberFormat="1" applyFont="1" applyFill="1" applyBorder="1" applyAlignment="1" applyProtection="1">
      <alignment horizontal="center" vertical="center"/>
      <protection hidden="1"/>
    </xf>
    <xf numFmtId="2" fontId="25" fillId="3" borderId="38" xfId="0" applyNumberFormat="1" applyFont="1" applyFill="1" applyBorder="1" applyAlignment="1" applyProtection="1">
      <alignment horizontal="center" vertical="center"/>
      <protection hidden="1"/>
    </xf>
    <xf numFmtId="2" fontId="25" fillId="3" borderId="6" xfId="0" applyNumberFormat="1" applyFont="1" applyFill="1" applyBorder="1" applyAlignment="1" applyProtection="1">
      <alignment horizontal="center" vertical="center"/>
      <protection hidden="1"/>
    </xf>
    <xf numFmtId="2" fontId="10" fillId="6" borderId="14" xfId="0" applyNumberFormat="1" applyFont="1" applyFill="1" applyBorder="1" applyAlignment="1" applyProtection="1">
      <alignment horizontal="center"/>
      <protection hidden="1"/>
    </xf>
    <xf numFmtId="2" fontId="10" fillId="6" borderId="15" xfId="0" applyNumberFormat="1" applyFont="1" applyFill="1" applyBorder="1" applyAlignment="1" applyProtection="1">
      <alignment horizontal="center"/>
      <protection hidden="1"/>
    </xf>
    <xf numFmtId="2" fontId="10" fillId="6" borderId="16" xfId="0" applyNumberFormat="1" applyFont="1" applyFill="1" applyBorder="1" applyAlignment="1" applyProtection="1">
      <alignment horizontal="center"/>
      <protection hidden="1"/>
    </xf>
    <xf numFmtId="2" fontId="14" fillId="6" borderId="61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65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14" xfId="0" applyNumberFormat="1" applyFont="1" applyFill="1" applyBorder="1" applyAlignment="1" applyProtection="1">
      <alignment horizontal="center"/>
      <protection hidden="1"/>
    </xf>
    <xf numFmtId="2" fontId="8" fillId="6" borderId="15" xfId="0" applyNumberFormat="1" applyFont="1" applyFill="1" applyBorder="1" applyAlignment="1" applyProtection="1">
      <alignment horizontal="center"/>
      <protection hidden="1"/>
    </xf>
    <xf numFmtId="2" fontId="8" fillId="6" borderId="16" xfId="0" applyNumberFormat="1" applyFont="1" applyFill="1" applyBorder="1" applyAlignment="1" applyProtection="1">
      <alignment horizontal="center"/>
      <protection hidden="1"/>
    </xf>
    <xf numFmtId="2" fontId="43" fillId="6" borderId="14" xfId="0" applyNumberFormat="1" applyFont="1" applyFill="1" applyBorder="1" applyAlignment="1" applyProtection="1">
      <alignment horizontal="center" vertical="center" wrapText="1"/>
      <protection hidden="1"/>
    </xf>
    <xf numFmtId="2" fontId="43" fillId="6" borderId="16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60" xfId="0" applyNumberFormat="1" applyFont="1" applyFill="1" applyBorder="1" applyAlignment="1" applyProtection="1">
      <alignment horizontal="center" vertical="center"/>
      <protection hidden="1"/>
    </xf>
    <xf numFmtId="2" fontId="8" fillId="6" borderId="19" xfId="0" applyNumberFormat="1" applyFont="1" applyFill="1" applyBorder="1" applyAlignment="1" applyProtection="1">
      <alignment horizontal="center" vertical="center"/>
      <protection hidden="1"/>
    </xf>
    <xf numFmtId="2" fontId="14" fillId="6" borderId="61" xfId="0" applyNumberFormat="1" applyFont="1" applyFill="1" applyBorder="1" applyAlignment="1" applyProtection="1">
      <alignment horizontal="center" vertical="center"/>
      <protection hidden="1"/>
    </xf>
    <xf numFmtId="2" fontId="14" fillId="6" borderId="58" xfId="0" applyNumberFormat="1" applyFont="1" applyFill="1" applyBorder="1" applyAlignment="1" applyProtection="1">
      <alignment horizontal="center" vertical="center"/>
      <protection hidden="1"/>
    </xf>
    <xf numFmtId="2" fontId="14" fillId="6" borderId="65" xfId="0" applyNumberFormat="1" applyFont="1" applyFill="1" applyBorder="1" applyAlignment="1" applyProtection="1">
      <alignment horizontal="center" vertical="center"/>
      <protection hidden="1"/>
    </xf>
    <xf numFmtId="2" fontId="17" fillId="6" borderId="5" xfId="0" applyNumberFormat="1" applyFont="1" applyFill="1" applyBorder="1" applyAlignment="1" applyProtection="1">
      <alignment horizontal="center" vertical="center"/>
      <protection hidden="1"/>
    </xf>
    <xf numFmtId="2" fontId="17" fillId="6" borderId="31" xfId="0" applyNumberFormat="1" applyFont="1" applyFill="1" applyBorder="1" applyAlignment="1" applyProtection="1">
      <alignment horizontal="center" vertical="center"/>
      <protection hidden="1"/>
    </xf>
    <xf numFmtId="2" fontId="47" fillId="3" borderId="59" xfId="0" applyNumberFormat="1" applyFont="1" applyFill="1" applyBorder="1" applyAlignment="1" applyProtection="1">
      <alignment horizontal="center" vertical="center"/>
      <protection hidden="1"/>
    </xf>
    <xf numFmtId="2" fontId="19" fillId="3" borderId="69" xfId="0" applyNumberFormat="1" applyFont="1" applyFill="1" applyBorder="1" applyAlignment="1" applyProtection="1">
      <alignment horizontal="center" vertical="center"/>
      <protection hidden="1"/>
    </xf>
    <xf numFmtId="2" fontId="19" fillId="3" borderId="63" xfId="0" applyNumberFormat="1" applyFont="1" applyFill="1" applyBorder="1" applyAlignment="1" applyProtection="1">
      <alignment horizontal="center" vertical="center"/>
      <protection hidden="1"/>
    </xf>
    <xf numFmtId="2" fontId="25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25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25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46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46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55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25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58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61" xfId="0" applyNumberFormat="1" applyFont="1" applyFill="1" applyBorder="1" applyAlignment="1" applyProtection="1">
      <alignment horizontal="center" vertical="center"/>
      <protection hidden="1"/>
    </xf>
    <xf numFmtId="2" fontId="8" fillId="6" borderId="65" xfId="0" applyNumberFormat="1" applyFont="1" applyFill="1" applyBorder="1" applyAlignment="1" applyProtection="1">
      <alignment horizontal="center" vertical="center"/>
      <protection hidden="1"/>
    </xf>
    <xf numFmtId="2" fontId="14" fillId="6" borderId="14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15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16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27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74" xfId="0" applyNumberFormat="1" applyFont="1" applyFill="1" applyBorder="1" applyAlignment="1" applyProtection="1">
      <alignment horizontal="center" vertical="center" wrapText="1"/>
      <protection hidden="1"/>
    </xf>
    <xf numFmtId="0" fontId="10" fillId="6" borderId="73" xfId="0" applyFont="1" applyFill="1" applyBorder="1" applyAlignment="1" applyProtection="1">
      <alignment horizontal="center"/>
      <protection hidden="1"/>
    </xf>
    <xf numFmtId="0" fontId="10" fillId="6" borderId="74" xfId="0" applyFont="1" applyFill="1" applyBorder="1" applyAlignment="1" applyProtection="1">
      <alignment horizontal="center"/>
      <protection hidden="1"/>
    </xf>
    <xf numFmtId="2" fontId="9" fillId="6" borderId="39" xfId="2" applyNumberFormat="1" applyFont="1" applyFill="1" applyBorder="1" applyAlignment="1" applyProtection="1">
      <alignment horizontal="center" vertical="center"/>
      <protection locked="0" hidden="1"/>
    </xf>
    <xf numFmtId="2" fontId="9" fillId="6" borderId="1" xfId="2" applyNumberFormat="1" applyFont="1" applyFill="1" applyBorder="1" applyAlignment="1" applyProtection="1">
      <alignment horizontal="center" vertical="center"/>
      <protection locked="0" hidden="1"/>
    </xf>
    <xf numFmtId="2" fontId="9" fillId="6" borderId="61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58" xfId="2" applyNumberFormat="1" applyFont="1" applyFill="1" applyBorder="1" applyAlignment="1" applyProtection="1">
      <alignment horizontal="center" vertical="center" wrapText="1"/>
      <protection hidden="1"/>
    </xf>
    <xf numFmtId="1" fontId="8" fillId="9" borderId="1" xfId="0" applyNumberFormat="1" applyFont="1" applyFill="1" applyBorder="1" applyAlignment="1" applyProtection="1">
      <alignment horizontal="center" vertical="center"/>
      <protection hidden="1"/>
    </xf>
    <xf numFmtId="1" fontId="8" fillId="9" borderId="40" xfId="0" applyNumberFormat="1" applyFont="1" applyFill="1" applyBorder="1" applyAlignment="1" applyProtection="1">
      <alignment horizontal="center" vertical="center"/>
      <protection hidden="1"/>
    </xf>
    <xf numFmtId="2" fontId="8" fillId="9" borderId="45" xfId="0" applyNumberFormat="1" applyFont="1" applyFill="1" applyBorder="1" applyAlignment="1" applyProtection="1">
      <alignment horizontal="center" vertical="center"/>
      <protection hidden="1"/>
    </xf>
    <xf numFmtId="2" fontId="8" fillId="9" borderId="16" xfId="0" applyNumberFormat="1" applyFont="1" applyFill="1" applyBorder="1" applyAlignment="1" applyProtection="1">
      <alignment horizontal="center" vertical="center"/>
      <protection hidden="1"/>
    </xf>
    <xf numFmtId="171" fontId="8" fillId="9" borderId="45" xfId="0" applyNumberFormat="1" applyFont="1" applyFill="1" applyBorder="1" applyAlignment="1" applyProtection="1">
      <alignment horizontal="center" vertical="center"/>
      <protection hidden="1"/>
    </xf>
    <xf numFmtId="171" fontId="8" fillId="9" borderId="16" xfId="0" applyNumberFormat="1" applyFont="1" applyFill="1" applyBorder="1" applyAlignment="1" applyProtection="1">
      <alignment horizontal="center" vertical="center"/>
      <protection hidden="1"/>
    </xf>
    <xf numFmtId="2" fontId="9" fillId="6" borderId="39" xfId="2" applyNumberFormat="1" applyFont="1" applyFill="1" applyBorder="1" applyAlignment="1" applyProtection="1">
      <alignment horizontal="center" vertical="center"/>
      <protection hidden="1"/>
    </xf>
    <xf numFmtId="2" fontId="9" fillId="6" borderId="2" xfId="2" applyNumberFormat="1" applyFont="1" applyFill="1" applyBorder="1" applyAlignment="1" applyProtection="1">
      <alignment horizontal="center" vertical="center"/>
      <protection hidden="1"/>
    </xf>
    <xf numFmtId="168" fontId="8" fillId="9" borderId="1" xfId="0" applyNumberFormat="1" applyFont="1" applyFill="1" applyBorder="1" applyAlignment="1" applyProtection="1">
      <alignment horizontal="center" vertical="center"/>
      <protection hidden="1"/>
    </xf>
    <xf numFmtId="168" fontId="8" fillId="9" borderId="40" xfId="0" applyNumberFormat="1" applyFont="1" applyFill="1" applyBorder="1" applyAlignment="1" applyProtection="1">
      <alignment horizontal="center" vertical="center"/>
      <protection hidden="1"/>
    </xf>
    <xf numFmtId="2" fontId="10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10" fillId="6" borderId="43" xfId="2" applyNumberFormat="1" applyFont="1" applyFill="1" applyBorder="1" applyAlignment="1" applyProtection="1">
      <alignment horizontal="center" vertical="center" wrapText="1"/>
      <protection hidden="1"/>
    </xf>
    <xf numFmtId="2" fontId="8" fillId="9" borderId="1" xfId="0" applyNumberFormat="1" applyFont="1" applyFill="1" applyBorder="1" applyAlignment="1" applyProtection="1">
      <alignment horizontal="center" vertical="center"/>
      <protection hidden="1"/>
    </xf>
    <xf numFmtId="2" fontId="8" fillId="9" borderId="40" xfId="0" applyNumberFormat="1" applyFont="1" applyFill="1" applyBorder="1" applyAlignment="1" applyProtection="1">
      <alignment horizontal="center" vertical="center"/>
      <protection hidden="1"/>
    </xf>
    <xf numFmtId="2" fontId="14" fillId="6" borderId="7" xfId="0" applyNumberFormat="1" applyFont="1" applyFill="1" applyBorder="1" applyAlignment="1" applyProtection="1">
      <alignment horizontal="center" vertical="center"/>
      <protection hidden="1"/>
    </xf>
    <xf numFmtId="2" fontId="14" fillId="6" borderId="8" xfId="0" applyNumberFormat="1" applyFont="1" applyFill="1" applyBorder="1" applyAlignment="1" applyProtection="1">
      <alignment horizontal="center" vertical="center"/>
      <protection hidden="1"/>
    </xf>
    <xf numFmtId="2" fontId="8" fillId="9" borderId="8" xfId="0" applyNumberFormat="1" applyFont="1" applyFill="1" applyBorder="1" applyAlignment="1" applyProtection="1">
      <alignment horizontal="center" vertical="center"/>
      <protection hidden="1"/>
    </xf>
    <xf numFmtId="2" fontId="8" fillId="9" borderId="12" xfId="0" applyNumberFormat="1" applyFont="1" applyFill="1" applyBorder="1" applyAlignment="1" applyProtection="1">
      <alignment horizontal="center" vertical="center"/>
      <protection hidden="1"/>
    </xf>
    <xf numFmtId="2" fontId="14" fillId="6" borderId="22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23" xfId="0" applyNumberFormat="1" applyFont="1" applyFill="1" applyBorder="1" applyAlignment="1" applyProtection="1">
      <alignment horizontal="center" vertical="center" wrapText="1"/>
      <protection hidden="1"/>
    </xf>
    <xf numFmtId="2" fontId="25" fillId="8" borderId="14" xfId="0" applyNumberFormat="1" applyFont="1" applyFill="1" applyBorder="1" applyAlignment="1" applyProtection="1">
      <alignment horizontal="center" vertical="center"/>
      <protection hidden="1"/>
    </xf>
    <xf numFmtId="2" fontId="25" fillId="8" borderId="15" xfId="0" applyNumberFormat="1" applyFont="1" applyFill="1" applyBorder="1" applyAlignment="1" applyProtection="1">
      <alignment horizontal="center" vertical="center"/>
      <protection hidden="1"/>
    </xf>
    <xf numFmtId="2" fontId="25" fillId="8" borderId="16" xfId="0" applyNumberFormat="1" applyFont="1" applyFill="1" applyBorder="1" applyAlignment="1" applyProtection="1">
      <alignment horizontal="center" vertical="center"/>
      <protection hidden="1"/>
    </xf>
    <xf numFmtId="0" fontId="25" fillId="3" borderId="22" xfId="0" applyFont="1" applyFill="1" applyBorder="1" applyAlignment="1" applyProtection="1">
      <alignment horizontal="center" vertical="center"/>
      <protection hidden="1"/>
    </xf>
    <xf numFmtId="0" fontId="25" fillId="3" borderId="30" xfId="0" applyFont="1" applyFill="1" applyBorder="1" applyAlignment="1" applyProtection="1">
      <alignment horizontal="center" vertical="center"/>
      <protection hidden="1"/>
    </xf>
    <xf numFmtId="0" fontId="25" fillId="3" borderId="23" xfId="0" applyFont="1" applyFill="1" applyBorder="1" applyAlignment="1" applyProtection="1">
      <alignment horizontal="center" vertical="center"/>
      <protection hidden="1"/>
    </xf>
    <xf numFmtId="2" fontId="9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37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39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40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7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12" xfId="2" applyNumberFormat="1" applyFont="1" applyFill="1" applyBorder="1" applyAlignment="1" applyProtection="1">
      <alignment horizontal="center" vertical="center" wrapText="1"/>
      <protection hidden="1"/>
    </xf>
    <xf numFmtId="2" fontId="8" fillId="9" borderId="55" xfId="0" applyNumberFormat="1" applyFont="1" applyFill="1" applyBorder="1" applyAlignment="1" applyProtection="1">
      <alignment horizontal="center" vertical="center"/>
      <protection hidden="1"/>
    </xf>
    <xf numFmtId="2" fontId="8" fillId="9" borderId="63" xfId="0" applyNumberFormat="1" applyFont="1" applyFill="1" applyBorder="1" applyAlignment="1" applyProtection="1">
      <alignment horizontal="center" vertical="center"/>
      <protection hidden="1"/>
    </xf>
    <xf numFmtId="2" fontId="25" fillId="3" borderId="14" xfId="0" applyNumberFormat="1" applyFont="1" applyFill="1" applyBorder="1" applyAlignment="1" applyProtection="1">
      <alignment horizontal="center" vertical="center"/>
      <protection hidden="1"/>
    </xf>
    <xf numFmtId="2" fontId="25" fillId="3" borderId="15" xfId="0" applyNumberFormat="1" applyFont="1" applyFill="1" applyBorder="1" applyAlignment="1" applyProtection="1">
      <alignment horizontal="center" vertical="center"/>
      <protection hidden="1"/>
    </xf>
    <xf numFmtId="2" fontId="25" fillId="3" borderId="16" xfId="0" applyNumberFormat="1" applyFont="1" applyFill="1" applyBorder="1" applyAlignment="1" applyProtection="1">
      <alignment horizontal="center" vertical="center"/>
      <protection hidden="1"/>
    </xf>
    <xf numFmtId="2" fontId="25" fillId="3" borderId="22" xfId="0" applyNumberFormat="1" applyFont="1" applyFill="1" applyBorder="1" applyAlignment="1" applyProtection="1">
      <alignment horizontal="center" vertical="center"/>
      <protection hidden="1"/>
    </xf>
    <xf numFmtId="2" fontId="25" fillId="3" borderId="30" xfId="0" applyNumberFormat="1" applyFont="1" applyFill="1" applyBorder="1" applyAlignment="1" applyProtection="1">
      <alignment horizontal="center" vertical="center"/>
      <protection hidden="1"/>
    </xf>
    <xf numFmtId="2" fontId="25" fillId="3" borderId="23" xfId="0" applyNumberFormat="1" applyFont="1" applyFill="1" applyBorder="1" applyAlignment="1" applyProtection="1">
      <alignment horizontal="center" vertical="center"/>
      <protection hidden="1"/>
    </xf>
    <xf numFmtId="2" fontId="9" fillId="6" borderId="56" xfId="0" applyNumberFormat="1" applyFont="1" applyFill="1" applyBorder="1" applyAlignment="1" applyProtection="1">
      <alignment horizontal="center" vertical="center"/>
      <protection hidden="1"/>
    </xf>
    <xf numFmtId="2" fontId="9" fillId="6" borderId="49" xfId="0" applyNumberFormat="1" applyFont="1" applyFill="1" applyBorder="1" applyAlignment="1" applyProtection="1">
      <alignment horizontal="center" vertical="center"/>
      <protection hidden="1"/>
    </xf>
    <xf numFmtId="2" fontId="9" fillId="6" borderId="57" xfId="0" applyNumberFormat="1" applyFont="1" applyFill="1" applyBorder="1" applyAlignment="1" applyProtection="1">
      <alignment horizontal="center" vertical="center"/>
      <protection hidden="1"/>
    </xf>
    <xf numFmtId="0" fontId="5" fillId="15" borderId="8" xfId="0" applyFont="1" applyFill="1" applyBorder="1" applyAlignment="1" applyProtection="1">
      <alignment horizontal="center" vertical="center" wrapText="1"/>
      <protection hidden="1"/>
    </xf>
    <xf numFmtId="2" fontId="8" fillId="6" borderId="14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16" xfId="0" applyNumberFormat="1" applyFont="1" applyFill="1" applyBorder="1" applyAlignment="1" applyProtection="1">
      <alignment horizontal="center" vertical="center" wrapText="1"/>
      <protection hidden="1"/>
    </xf>
    <xf numFmtId="1" fontId="8" fillId="9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2" fontId="11" fillId="8" borderId="21" xfId="0" applyNumberFormat="1" applyFont="1" applyFill="1" applyBorder="1" applyAlignment="1" applyProtection="1">
      <alignment horizontal="center" vertical="center" wrapText="1"/>
      <protection hidden="1"/>
    </xf>
    <xf numFmtId="2" fontId="11" fillId="8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8" borderId="6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11" xfId="2" applyNumberFormat="1" applyFont="1" applyFill="1" applyBorder="1" applyAlignment="1" applyProtection="1">
      <alignment horizontal="center" vertical="center" wrapText="1"/>
      <protection hidden="1"/>
    </xf>
    <xf numFmtId="2" fontId="14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31" xfId="0" applyNumberFormat="1" applyFont="1" applyFill="1" applyBorder="1" applyAlignment="1" applyProtection="1">
      <alignment horizontal="center" vertical="center" wrapText="1"/>
      <protection hidden="1"/>
    </xf>
    <xf numFmtId="2" fontId="46" fillId="6" borderId="32" xfId="0" applyNumberFormat="1" applyFont="1" applyFill="1" applyBorder="1" applyAlignment="1" applyProtection="1">
      <alignment horizontal="center" vertical="center"/>
      <protection hidden="1"/>
    </xf>
    <xf numFmtId="2" fontId="46" fillId="6" borderId="54" xfId="0" applyNumberFormat="1" applyFont="1" applyFill="1" applyBorder="1" applyAlignment="1" applyProtection="1">
      <alignment horizontal="center" vertical="center"/>
      <protection hidden="1"/>
    </xf>
    <xf numFmtId="0" fontId="64" fillId="8" borderId="14" xfId="0" applyFont="1" applyFill="1" applyBorder="1" applyAlignment="1">
      <alignment horizontal="center" vertical="top" wrapText="1"/>
    </xf>
    <xf numFmtId="0" fontId="64" fillId="8" borderId="15" xfId="0" applyFont="1" applyFill="1" applyBorder="1" applyAlignment="1">
      <alignment horizontal="center" vertical="top" wrapText="1"/>
    </xf>
    <xf numFmtId="0" fontId="64" fillId="8" borderId="16" xfId="0" applyFont="1" applyFill="1" applyBorder="1" applyAlignment="1">
      <alignment horizontal="center" vertical="top" wrapText="1"/>
    </xf>
    <xf numFmtId="2" fontId="8" fillId="0" borderId="34" xfId="0" applyNumberFormat="1" applyFont="1" applyBorder="1" applyAlignment="1" applyProtection="1">
      <alignment horizontal="center"/>
      <protection hidden="1"/>
    </xf>
    <xf numFmtId="2" fontId="17" fillId="6" borderId="9" xfId="0" applyNumberFormat="1" applyFont="1" applyFill="1" applyBorder="1" applyAlignment="1" applyProtection="1">
      <alignment horizontal="center" vertical="center"/>
      <protection hidden="1"/>
    </xf>
    <xf numFmtId="2" fontId="17" fillId="6" borderId="11" xfId="0" applyNumberFormat="1" applyFont="1" applyFill="1" applyBorder="1" applyAlignment="1" applyProtection="1">
      <alignment horizontal="center" vertical="center"/>
      <protection hidden="1"/>
    </xf>
    <xf numFmtId="2" fontId="17" fillId="6" borderId="22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24" xfId="0" applyNumberFormat="1" applyFont="1" applyFill="1" applyBorder="1" applyAlignment="1" applyProtection="1">
      <alignment horizontal="center" vertical="center" wrapText="1"/>
      <protection hidden="1"/>
    </xf>
    <xf numFmtId="2" fontId="65" fillId="0" borderId="22" xfId="0" applyNumberFormat="1" applyFont="1" applyBorder="1" applyAlignment="1" applyProtection="1">
      <alignment horizontal="center" vertical="center" wrapText="1"/>
      <protection hidden="1"/>
    </xf>
    <xf numFmtId="2" fontId="65" fillId="0" borderId="30" xfId="0" applyNumberFormat="1" applyFont="1" applyBorder="1" applyAlignment="1" applyProtection="1">
      <alignment horizontal="center" vertical="center" wrapText="1"/>
      <protection hidden="1"/>
    </xf>
    <xf numFmtId="2" fontId="65" fillId="0" borderId="24" xfId="0" applyNumberFormat="1" applyFont="1" applyBorder="1" applyAlignment="1" applyProtection="1">
      <alignment horizontal="center" vertical="center" wrapText="1"/>
      <protection hidden="1"/>
    </xf>
    <xf numFmtId="2" fontId="65" fillId="0" borderId="0" xfId="0" applyNumberFormat="1" applyFont="1" applyAlignment="1" applyProtection="1">
      <alignment horizontal="center" vertical="center" wrapText="1"/>
      <protection hidden="1"/>
    </xf>
    <xf numFmtId="2" fontId="65" fillId="0" borderId="21" xfId="0" applyNumberFormat="1" applyFont="1" applyBorder="1" applyAlignment="1" applyProtection="1">
      <alignment horizontal="center" vertical="center" wrapText="1"/>
      <protection hidden="1"/>
    </xf>
    <xf numFmtId="2" fontId="65" fillId="0" borderId="38" xfId="0" applyNumberFormat="1" applyFont="1" applyBorder="1" applyAlignment="1" applyProtection="1">
      <alignment horizontal="center" vertical="center" wrapText="1"/>
      <protection hidden="1"/>
    </xf>
    <xf numFmtId="2" fontId="8" fillId="9" borderId="5" xfId="0" applyNumberFormat="1" applyFont="1" applyFill="1" applyBorder="1" applyAlignment="1" applyProtection="1">
      <alignment horizontal="center" vertical="center"/>
      <protection hidden="1"/>
    </xf>
    <xf numFmtId="2" fontId="8" fillId="9" borderId="37" xfId="0" applyNumberFormat="1" applyFont="1" applyFill="1" applyBorder="1" applyAlignment="1" applyProtection="1">
      <alignment horizontal="center" vertical="center"/>
      <protection hidden="1"/>
    </xf>
    <xf numFmtId="2" fontId="14" fillId="6" borderId="4" xfId="0" applyNumberFormat="1" applyFont="1" applyFill="1" applyBorder="1" applyAlignment="1" applyProtection="1">
      <alignment horizontal="center" vertical="center"/>
      <protection hidden="1"/>
    </xf>
    <xf numFmtId="2" fontId="14" fillId="6" borderId="5" xfId="0" applyNumberFormat="1" applyFont="1" applyFill="1" applyBorder="1" applyAlignment="1" applyProtection="1">
      <alignment horizontal="center" vertical="center"/>
      <protection hidden="1"/>
    </xf>
    <xf numFmtId="2" fontId="9" fillId="6" borderId="4" xfId="2" applyNumberFormat="1" applyFont="1" applyFill="1" applyBorder="1" applyAlignment="1" applyProtection="1">
      <alignment horizontal="center" vertical="center"/>
      <protection hidden="1"/>
    </xf>
    <xf numFmtId="2" fontId="9" fillId="6" borderId="55" xfId="2" applyNumberFormat="1" applyFont="1" applyFill="1" applyBorder="1" applyAlignment="1" applyProtection="1">
      <alignment horizontal="center" vertical="center"/>
      <protection hidden="1"/>
    </xf>
    <xf numFmtId="2" fontId="9" fillId="6" borderId="1" xfId="2" applyNumberFormat="1" applyFont="1" applyFill="1" applyBorder="1" applyAlignment="1" applyProtection="1">
      <alignment horizontal="center" vertical="center"/>
      <protection hidden="1"/>
    </xf>
    <xf numFmtId="2" fontId="9" fillId="6" borderId="60" xfId="2" applyNumberFormat="1" applyFont="1" applyFill="1" applyBorder="1" applyAlignment="1" applyProtection="1">
      <alignment horizontal="center" vertical="center"/>
      <protection hidden="1"/>
    </xf>
    <xf numFmtId="2" fontId="9" fillId="6" borderId="19" xfId="2" applyNumberFormat="1" applyFont="1" applyFill="1" applyBorder="1" applyAlignment="1" applyProtection="1">
      <alignment horizontal="center" vertical="center"/>
      <protection hidden="1"/>
    </xf>
    <xf numFmtId="2" fontId="9" fillId="6" borderId="60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19" xfId="2" applyNumberFormat="1" applyFont="1" applyFill="1" applyBorder="1" applyAlignment="1" applyProtection="1">
      <alignment horizontal="center" vertical="center" wrapText="1"/>
      <protection hidden="1"/>
    </xf>
    <xf numFmtId="2" fontId="10" fillId="6" borderId="5" xfId="2" applyNumberFormat="1" applyFont="1" applyFill="1" applyBorder="1" applyAlignment="1" applyProtection="1">
      <alignment horizontal="center" vertical="center" wrapText="1"/>
      <protection hidden="1"/>
    </xf>
    <xf numFmtId="2" fontId="10" fillId="6" borderId="31" xfId="2" applyNumberFormat="1" applyFont="1" applyFill="1" applyBorder="1" applyAlignment="1" applyProtection="1">
      <alignment horizontal="center" vertical="center" wrapText="1"/>
      <protection hidden="1"/>
    </xf>
    <xf numFmtId="2" fontId="1" fillId="13" borderId="32" xfId="3" applyFont="1" applyBorder="1" applyAlignment="1" applyProtection="1">
      <alignment horizontal="center" vertical="center"/>
      <protection locked="0" hidden="1"/>
    </xf>
    <xf numFmtId="2" fontId="1" fillId="13" borderId="33" xfId="3" applyFont="1" applyBorder="1" applyAlignment="1" applyProtection="1">
      <alignment horizontal="center" vertical="center"/>
      <protection locked="0" hidden="1"/>
    </xf>
    <xf numFmtId="2" fontId="9" fillId="6" borderId="22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30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21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38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4" xfId="0" applyNumberFormat="1" applyFont="1" applyFill="1" applyBorder="1" applyAlignment="1" applyProtection="1">
      <alignment horizontal="center" vertical="center"/>
      <protection hidden="1"/>
    </xf>
    <xf numFmtId="2" fontId="8" fillId="6" borderId="15" xfId="0" applyNumberFormat="1" applyFont="1" applyFill="1" applyBorder="1" applyAlignment="1" applyProtection="1">
      <alignment horizontal="center" vertical="center"/>
      <protection hidden="1"/>
    </xf>
    <xf numFmtId="2" fontId="10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11" xfId="0" applyNumberFormat="1" applyFont="1" applyFill="1" applyBorder="1" applyAlignment="1" applyProtection="1">
      <alignment horizontal="center" vertical="center" wrapText="1"/>
      <protection hidden="1"/>
    </xf>
    <xf numFmtId="0" fontId="32" fillId="3" borderId="7" xfId="0" applyFont="1" applyFill="1" applyBorder="1" applyAlignment="1" applyProtection="1">
      <alignment horizontal="center" vertical="center" wrapText="1"/>
      <protection hidden="1"/>
    </xf>
    <xf numFmtId="0" fontId="32" fillId="3" borderId="8" xfId="0" applyFont="1" applyFill="1" applyBorder="1" applyAlignment="1" applyProtection="1">
      <alignment horizontal="center" vertical="center" wrapText="1"/>
      <protection hidden="1"/>
    </xf>
    <xf numFmtId="2" fontId="10" fillId="6" borderId="37" xfId="2" applyNumberFormat="1" applyFont="1" applyFill="1" applyBorder="1" applyAlignment="1" applyProtection="1">
      <alignment horizontal="center" vertical="center" wrapText="1"/>
      <protection hidden="1"/>
    </xf>
    <xf numFmtId="2" fontId="10" fillId="6" borderId="44" xfId="2" applyNumberFormat="1" applyFont="1" applyFill="1" applyBorder="1" applyAlignment="1" applyProtection="1">
      <alignment horizontal="center" vertical="center" wrapText="1"/>
      <protection hidden="1"/>
    </xf>
    <xf numFmtId="2" fontId="14" fillId="6" borderId="30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21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38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6" xfId="0" applyNumberFormat="1" applyFont="1" applyFill="1" applyBorder="1" applyAlignment="1" applyProtection="1">
      <alignment horizontal="center" vertical="center" wrapText="1"/>
      <protection hidden="1"/>
    </xf>
    <xf numFmtId="2" fontId="34" fillId="6" borderId="7" xfId="0" applyNumberFormat="1" applyFont="1" applyFill="1" applyBorder="1" applyAlignment="1" applyProtection="1">
      <alignment horizontal="left" vertical="center" wrapText="1"/>
      <protection hidden="1"/>
    </xf>
    <xf numFmtId="2" fontId="34" fillId="6" borderId="8" xfId="0" applyNumberFormat="1" applyFont="1" applyFill="1" applyBorder="1" applyAlignment="1" applyProtection="1">
      <alignment horizontal="left" vertical="center" wrapText="1"/>
      <protection hidden="1"/>
    </xf>
    <xf numFmtId="2" fontId="5" fillId="6" borderId="4" xfId="0" applyNumberFormat="1" applyFont="1" applyFill="1" applyBorder="1" applyAlignment="1" applyProtection="1">
      <alignment horizontal="left" vertical="center" wrapText="1"/>
      <protection hidden="1"/>
    </xf>
    <xf numFmtId="2" fontId="5" fillId="6" borderId="5" xfId="0" applyNumberFormat="1" applyFont="1" applyFill="1" applyBorder="1" applyAlignment="1" applyProtection="1">
      <alignment horizontal="left" vertical="center" wrapText="1"/>
      <protection hidden="1"/>
    </xf>
    <xf numFmtId="2" fontId="17" fillId="11" borderId="9" xfId="0" applyNumberFormat="1" applyFont="1" applyFill="1" applyBorder="1" applyAlignment="1" applyProtection="1">
      <alignment horizontal="center" vertical="center"/>
      <protection hidden="1"/>
    </xf>
    <xf numFmtId="2" fontId="17" fillId="11" borderId="10" xfId="0" applyNumberFormat="1" applyFont="1" applyFill="1" applyBorder="1" applyAlignment="1" applyProtection="1">
      <alignment horizontal="center" vertical="center"/>
      <protection hidden="1"/>
    </xf>
    <xf numFmtId="2" fontId="17" fillId="11" borderId="11" xfId="0" applyNumberFormat="1" applyFont="1" applyFill="1" applyBorder="1" applyAlignment="1" applyProtection="1">
      <alignment horizontal="center" vertical="center"/>
      <protection hidden="1"/>
    </xf>
    <xf numFmtId="2" fontId="5" fillId="6" borderId="46" xfId="0" applyNumberFormat="1" applyFont="1" applyFill="1" applyBorder="1" applyAlignment="1" applyProtection="1">
      <alignment horizontal="left" vertical="center" wrapText="1"/>
      <protection hidden="1"/>
    </xf>
    <xf numFmtId="2" fontId="5" fillId="6" borderId="47" xfId="0" applyNumberFormat="1" applyFont="1" applyFill="1" applyBorder="1" applyAlignment="1" applyProtection="1">
      <alignment horizontal="left" vertical="center" wrapText="1"/>
      <protection hidden="1"/>
    </xf>
    <xf numFmtId="2" fontId="25" fillId="8" borderId="22" xfId="0" applyNumberFormat="1" applyFont="1" applyFill="1" applyBorder="1" applyAlignment="1" applyProtection="1">
      <alignment horizontal="center" vertical="center" wrapText="1"/>
      <protection hidden="1"/>
    </xf>
    <xf numFmtId="2" fontId="25" fillId="8" borderId="30" xfId="0" applyNumberFormat="1" applyFont="1" applyFill="1" applyBorder="1" applyAlignment="1" applyProtection="1">
      <alignment horizontal="center" vertical="center" wrapText="1"/>
      <protection hidden="1"/>
    </xf>
    <xf numFmtId="2" fontId="25" fillId="8" borderId="23" xfId="0" applyNumberFormat="1" applyFont="1" applyFill="1" applyBorder="1" applyAlignment="1" applyProtection="1">
      <alignment horizontal="center" vertical="center" wrapText="1"/>
      <protection hidden="1"/>
    </xf>
    <xf numFmtId="0" fontId="41" fillId="8" borderId="14" xfId="0" applyFont="1" applyFill="1" applyBorder="1" applyAlignment="1" applyProtection="1">
      <alignment horizontal="center" vertical="center" wrapText="1"/>
      <protection hidden="1"/>
    </xf>
    <xf numFmtId="0" fontId="41" fillId="8" borderId="15" xfId="0" applyFont="1" applyFill="1" applyBorder="1" applyAlignment="1" applyProtection="1">
      <alignment horizontal="center" vertical="center" wrapText="1"/>
      <protection hidden="1"/>
    </xf>
    <xf numFmtId="0" fontId="41" fillId="8" borderId="16" xfId="0" applyFont="1" applyFill="1" applyBorder="1" applyAlignment="1" applyProtection="1">
      <alignment horizontal="center" vertical="center" wrapText="1"/>
      <protection hidden="1"/>
    </xf>
    <xf numFmtId="2" fontId="25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25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25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52" xfId="0" applyNumberFormat="1" applyFont="1" applyFill="1" applyBorder="1" applyAlignment="1" applyProtection="1">
      <alignment horizontal="center" vertical="center"/>
      <protection hidden="1"/>
    </xf>
    <xf numFmtId="2" fontId="17" fillId="6" borderId="29" xfId="0" applyNumberFormat="1" applyFont="1" applyFill="1" applyBorder="1" applyAlignment="1" applyProtection="1">
      <alignment horizontal="center" vertical="center"/>
      <protection hidden="1"/>
    </xf>
    <xf numFmtId="2" fontId="22" fillId="3" borderId="14" xfId="0" applyNumberFormat="1" applyFont="1" applyFill="1" applyBorder="1" applyAlignment="1" applyProtection="1">
      <alignment horizontal="center" vertical="center"/>
      <protection hidden="1"/>
    </xf>
    <xf numFmtId="2" fontId="22" fillId="3" borderId="15" xfId="0" applyNumberFormat="1" applyFont="1" applyFill="1" applyBorder="1" applyAlignment="1" applyProtection="1">
      <alignment horizontal="center" vertical="center"/>
      <protection hidden="1"/>
    </xf>
    <xf numFmtId="2" fontId="22" fillId="3" borderId="16" xfId="0" applyNumberFormat="1" applyFont="1" applyFill="1" applyBorder="1" applyAlignment="1" applyProtection="1">
      <alignment horizontal="center" vertical="center"/>
      <protection hidden="1"/>
    </xf>
    <xf numFmtId="2" fontId="17" fillId="6" borderId="4" xfId="0" applyNumberFormat="1" applyFont="1" applyFill="1" applyBorder="1" applyAlignment="1" applyProtection="1">
      <alignment horizontal="center" vertical="center"/>
      <protection hidden="1"/>
    </xf>
    <xf numFmtId="2" fontId="17" fillId="6" borderId="43" xfId="0" applyNumberFormat="1" applyFont="1" applyFill="1" applyBorder="1" applyAlignment="1" applyProtection="1">
      <alignment horizontal="center" vertical="center"/>
      <protection hidden="1"/>
    </xf>
    <xf numFmtId="2" fontId="8" fillId="13" borderId="14" xfId="3" applyFont="1" applyBorder="1" applyAlignment="1" applyProtection="1">
      <alignment horizontal="center" vertical="center" wrapText="1"/>
      <protection locked="0" hidden="1"/>
    </xf>
    <xf numFmtId="2" fontId="8" fillId="13" borderId="16" xfId="3" applyFont="1" applyBorder="1" applyAlignment="1" applyProtection="1">
      <alignment horizontal="center" vertical="center" wrapText="1"/>
      <protection locked="0" hidden="1"/>
    </xf>
    <xf numFmtId="2" fontId="8" fillId="2" borderId="22" xfId="0" applyNumberFormat="1" applyFont="1" applyFill="1" applyBorder="1" applyAlignment="1" applyProtection="1">
      <alignment horizontal="left" vertical="top" wrapText="1"/>
      <protection locked="0" hidden="1"/>
    </xf>
    <xf numFmtId="2" fontId="8" fillId="2" borderId="30" xfId="0" applyNumberFormat="1" applyFont="1" applyFill="1" applyBorder="1" applyAlignment="1" applyProtection="1">
      <alignment horizontal="left" vertical="top" wrapText="1"/>
      <protection locked="0" hidden="1"/>
    </xf>
    <xf numFmtId="2" fontId="8" fillId="2" borderId="23" xfId="0" applyNumberFormat="1" applyFont="1" applyFill="1" applyBorder="1" applyAlignment="1" applyProtection="1">
      <alignment horizontal="left" vertical="top" wrapText="1"/>
      <protection locked="0" hidden="1"/>
    </xf>
    <xf numFmtId="2" fontId="8" fillId="2" borderId="24" xfId="0" applyNumberFormat="1" applyFont="1" applyFill="1" applyBorder="1" applyAlignment="1" applyProtection="1">
      <alignment horizontal="left" vertical="top" wrapText="1"/>
      <protection locked="0" hidden="1"/>
    </xf>
    <xf numFmtId="2" fontId="8" fillId="2" borderId="0" xfId="0" applyNumberFormat="1" applyFont="1" applyFill="1" applyAlignment="1" applyProtection="1">
      <alignment horizontal="left" vertical="top" wrapText="1"/>
      <protection locked="0" hidden="1"/>
    </xf>
    <xf numFmtId="2" fontId="8" fillId="2" borderId="36" xfId="0" applyNumberFormat="1" applyFont="1" applyFill="1" applyBorder="1" applyAlignment="1" applyProtection="1">
      <alignment horizontal="left" vertical="top" wrapText="1"/>
      <protection locked="0" hidden="1"/>
    </xf>
    <xf numFmtId="2" fontId="8" fillId="2" borderId="21" xfId="0" applyNumberFormat="1" applyFont="1" applyFill="1" applyBorder="1" applyAlignment="1" applyProtection="1">
      <alignment horizontal="left" vertical="top" wrapText="1"/>
      <protection locked="0" hidden="1"/>
    </xf>
    <xf numFmtId="2" fontId="8" fillId="2" borderId="38" xfId="0" applyNumberFormat="1" applyFont="1" applyFill="1" applyBorder="1" applyAlignment="1" applyProtection="1">
      <alignment horizontal="left" vertical="top" wrapText="1"/>
      <protection locked="0" hidden="1"/>
    </xf>
    <xf numFmtId="2" fontId="8" fillId="2" borderId="6" xfId="0" applyNumberFormat="1" applyFont="1" applyFill="1" applyBorder="1" applyAlignment="1" applyProtection="1">
      <alignment horizontal="left" vertical="top" wrapText="1"/>
      <protection locked="0" hidden="1"/>
    </xf>
    <xf numFmtId="2" fontId="8" fillId="9" borderId="14" xfId="0" applyNumberFormat="1" applyFont="1" applyFill="1" applyBorder="1" applyAlignment="1" applyProtection="1">
      <alignment horizontal="center" vertical="center" wrapText="1"/>
      <protection hidden="1"/>
    </xf>
    <xf numFmtId="2" fontId="8" fillId="9" borderId="16" xfId="0" applyNumberFormat="1" applyFont="1" applyFill="1" applyBorder="1" applyAlignment="1" applyProtection="1">
      <alignment horizontal="center" vertical="center" wrapText="1"/>
      <protection hidden="1"/>
    </xf>
    <xf numFmtId="2" fontId="53" fillId="8" borderId="0" xfId="0" applyNumberFormat="1" applyFont="1" applyFill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68" fillId="8" borderId="14" xfId="0" applyNumberFormat="1" applyFont="1" applyFill="1" applyBorder="1" applyAlignment="1">
      <alignment horizontal="center" vertical="center"/>
    </xf>
    <xf numFmtId="2" fontId="68" fillId="8" borderId="15" xfId="0" applyNumberFormat="1" applyFont="1" applyFill="1" applyBorder="1" applyAlignment="1">
      <alignment horizontal="center" vertical="center"/>
    </xf>
    <xf numFmtId="2" fontId="68" fillId="8" borderId="16" xfId="0" applyNumberFormat="1" applyFont="1" applyFill="1" applyBorder="1" applyAlignment="1">
      <alignment horizontal="center" vertical="center"/>
    </xf>
    <xf numFmtId="0" fontId="41" fillId="8" borderId="14" xfId="0" applyFont="1" applyFill="1" applyBorder="1" applyAlignment="1">
      <alignment horizontal="center" vertical="center" wrapText="1"/>
    </xf>
    <xf numFmtId="0" fontId="41" fillId="8" borderId="15" xfId="0" applyFont="1" applyFill="1" applyBorder="1" applyAlignment="1">
      <alignment horizontal="center" vertical="center" wrapText="1"/>
    </xf>
    <xf numFmtId="0" fontId="41" fillId="8" borderId="16" xfId="0" applyFont="1" applyFill="1" applyBorder="1" applyAlignment="1">
      <alignment horizontal="center" vertical="center" wrapText="1"/>
    </xf>
    <xf numFmtId="0" fontId="41" fillId="8" borderId="14" xfId="0" applyFont="1" applyFill="1" applyBorder="1" applyAlignment="1">
      <alignment horizontal="center" vertical="center"/>
    </xf>
    <xf numFmtId="0" fontId="41" fillId="8" borderId="15" xfId="0" applyFont="1" applyFill="1" applyBorder="1" applyAlignment="1">
      <alignment horizontal="center" vertical="center"/>
    </xf>
    <xf numFmtId="0" fontId="41" fillId="8" borderId="16" xfId="0" applyFont="1" applyFill="1" applyBorder="1" applyAlignment="1">
      <alignment horizontal="center" vertical="center"/>
    </xf>
    <xf numFmtId="2" fontId="8" fillId="2" borderId="22" xfId="0" applyNumberFormat="1" applyFont="1" applyFill="1" applyBorder="1" applyAlignment="1">
      <alignment horizontal="center"/>
    </xf>
    <xf numFmtId="2" fontId="8" fillId="2" borderId="30" xfId="0" applyNumberFormat="1" applyFont="1" applyFill="1" applyBorder="1" applyAlignment="1">
      <alignment horizontal="center"/>
    </xf>
    <xf numFmtId="2" fontId="8" fillId="2" borderId="23" xfId="0" applyNumberFormat="1" applyFont="1" applyFill="1" applyBorder="1" applyAlignment="1">
      <alignment horizontal="center"/>
    </xf>
    <xf numFmtId="2" fontId="8" fillId="2" borderId="24" xfId="0" applyNumberFormat="1" applyFont="1" applyFill="1" applyBorder="1" applyAlignment="1">
      <alignment horizontal="center"/>
    </xf>
    <xf numFmtId="2" fontId="8" fillId="2" borderId="0" xfId="0" applyNumberFormat="1" applyFont="1" applyFill="1" applyAlignment="1">
      <alignment horizontal="center"/>
    </xf>
    <xf numFmtId="2" fontId="8" fillId="2" borderId="36" xfId="0" applyNumberFormat="1" applyFont="1" applyFill="1" applyBorder="1" applyAlignment="1">
      <alignment horizontal="center"/>
    </xf>
    <xf numFmtId="2" fontId="8" fillId="2" borderId="21" xfId="0" applyNumberFormat="1" applyFont="1" applyFill="1" applyBorder="1" applyAlignment="1">
      <alignment horizontal="center"/>
    </xf>
    <xf numFmtId="2" fontId="8" fillId="2" borderId="38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2" fontId="32" fillId="8" borderId="22" xfId="0" applyNumberFormat="1" applyFont="1" applyFill="1" applyBorder="1" applyAlignment="1">
      <alignment horizontal="center" vertical="center" wrapText="1"/>
    </xf>
    <xf numFmtId="2" fontId="32" fillId="8" borderId="21" xfId="0" applyNumberFormat="1" applyFont="1" applyFill="1" applyBorder="1" applyAlignment="1">
      <alignment horizontal="center" vertical="center" wrapText="1"/>
    </xf>
    <xf numFmtId="2" fontId="69" fillId="8" borderId="14" xfId="0" applyNumberFormat="1" applyFont="1" applyFill="1" applyBorder="1" applyAlignment="1">
      <alignment horizontal="center" vertical="center"/>
    </xf>
    <xf numFmtId="2" fontId="69" fillId="8" borderId="15" xfId="0" applyNumberFormat="1" applyFont="1" applyFill="1" applyBorder="1" applyAlignment="1">
      <alignment horizontal="center" vertical="center"/>
    </xf>
    <xf numFmtId="2" fontId="69" fillId="8" borderId="16" xfId="0" applyNumberFormat="1" applyFont="1" applyFill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2" fontId="10" fillId="0" borderId="36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1" fillId="8" borderId="14" xfId="0" applyNumberFormat="1" applyFont="1" applyFill="1" applyBorder="1" applyAlignment="1">
      <alignment horizontal="center" vertical="center"/>
    </xf>
    <xf numFmtId="2" fontId="11" fillId="8" borderId="16" xfId="0" applyNumberFormat="1" applyFont="1" applyFill="1" applyBorder="1" applyAlignment="1">
      <alignment horizontal="center" vertical="center"/>
    </xf>
    <xf numFmtId="2" fontId="8" fillId="6" borderId="64" xfId="0" applyNumberFormat="1" applyFont="1" applyFill="1" applyBorder="1" applyAlignment="1" applyProtection="1">
      <alignment horizontal="center" vertical="center"/>
      <protection hidden="1"/>
    </xf>
    <xf numFmtId="2" fontId="14" fillId="6" borderId="69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39" xfId="0" applyFont="1" applyFill="1" applyBorder="1" applyAlignment="1" applyProtection="1">
      <alignment horizontal="center"/>
      <protection hidden="1"/>
    </xf>
    <xf numFmtId="0" fontId="8" fillId="6" borderId="2" xfId="0" applyFont="1" applyFill="1" applyBorder="1" applyAlignment="1" applyProtection="1">
      <alignment horizontal="center"/>
      <protection hidden="1"/>
    </xf>
    <xf numFmtId="0" fontId="10" fillId="6" borderId="4" xfId="0" applyFont="1" applyFill="1" applyBorder="1" applyAlignment="1" applyProtection="1">
      <alignment horizontal="center"/>
      <protection hidden="1"/>
    </xf>
    <xf numFmtId="0" fontId="10" fillId="6" borderId="37" xfId="0" applyFont="1" applyFill="1" applyBorder="1" applyAlignment="1" applyProtection="1">
      <alignment horizontal="center"/>
      <protection hidden="1"/>
    </xf>
    <xf numFmtId="0" fontId="10" fillId="6" borderId="39" xfId="0" applyFont="1" applyFill="1" applyBorder="1" applyAlignment="1" applyProtection="1">
      <alignment horizontal="center"/>
      <protection hidden="1"/>
    </xf>
    <xf numFmtId="0" fontId="10" fillId="6" borderId="40" xfId="0" applyFont="1" applyFill="1" applyBorder="1" applyAlignment="1" applyProtection="1">
      <alignment horizontal="center"/>
      <protection hidden="1"/>
    </xf>
    <xf numFmtId="2" fontId="8" fillId="6" borderId="60" xfId="0" applyNumberFormat="1" applyFont="1" applyFill="1" applyBorder="1" applyAlignment="1" applyProtection="1">
      <alignment horizontal="center"/>
      <protection hidden="1"/>
    </xf>
    <xf numFmtId="2" fontId="8" fillId="6" borderId="19" xfId="0" applyNumberFormat="1" applyFont="1" applyFill="1" applyBorder="1" applyAlignment="1" applyProtection="1">
      <alignment horizontal="center"/>
      <protection hidden="1"/>
    </xf>
    <xf numFmtId="2" fontId="8" fillId="6" borderId="64" xfId="0" applyNumberFormat="1" applyFont="1" applyFill="1" applyBorder="1" applyAlignment="1" applyProtection="1">
      <alignment horizontal="center"/>
      <protection hidden="1"/>
    </xf>
    <xf numFmtId="2" fontId="8" fillId="6" borderId="61" xfId="0" applyNumberFormat="1" applyFont="1" applyFill="1" applyBorder="1" applyAlignment="1" applyProtection="1">
      <alignment horizontal="center"/>
      <protection hidden="1"/>
    </xf>
    <xf numFmtId="2" fontId="8" fillId="6" borderId="58" xfId="0" applyNumberFormat="1" applyFont="1" applyFill="1" applyBorder="1" applyAlignment="1" applyProtection="1">
      <alignment horizontal="center"/>
      <protection hidden="1"/>
    </xf>
    <xf numFmtId="2" fontId="8" fillId="6" borderId="65" xfId="0" applyNumberFormat="1" applyFont="1" applyFill="1" applyBorder="1" applyAlignment="1" applyProtection="1">
      <alignment horizontal="center"/>
      <protection hidden="1"/>
    </xf>
    <xf numFmtId="1" fontId="6" fillId="13" borderId="32" xfId="3" applyNumberFormat="1" applyFont="1" applyBorder="1" applyAlignment="1" applyProtection="1">
      <alignment horizontal="center" vertical="center" wrapText="1"/>
      <protection locked="0" hidden="1"/>
    </xf>
    <xf numFmtId="1" fontId="6" fillId="13" borderId="33" xfId="3" applyNumberFormat="1" applyFont="1" applyBorder="1" applyAlignment="1" applyProtection="1">
      <alignment horizontal="center" vertical="center" wrapText="1"/>
      <protection locked="0" hidden="1"/>
    </xf>
    <xf numFmtId="2" fontId="17" fillId="6" borderId="35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13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17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18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64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59" xfId="0" applyNumberFormat="1" applyFont="1" applyFill="1" applyBorder="1" applyAlignment="1" applyProtection="1">
      <alignment horizontal="center" vertical="center"/>
      <protection hidden="1"/>
    </xf>
    <xf numFmtId="2" fontId="8" fillId="6" borderId="63" xfId="0" applyNumberFormat="1" applyFont="1" applyFill="1" applyBorder="1" applyAlignment="1" applyProtection="1">
      <alignment horizontal="center" vertical="center"/>
      <protection hidden="1"/>
    </xf>
    <xf numFmtId="2" fontId="5" fillId="6" borderId="14" xfId="0" applyNumberFormat="1" applyFont="1" applyFill="1" applyBorder="1" applyAlignment="1" applyProtection="1">
      <alignment horizontal="center" vertical="center" wrapText="1"/>
      <protection hidden="1"/>
    </xf>
    <xf numFmtId="2" fontId="5" fillId="6" borderId="16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62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4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59" xfId="0" applyNumberFormat="1" applyFont="1" applyFill="1" applyBorder="1" applyAlignment="1" applyProtection="1">
      <alignment horizontal="center"/>
      <protection hidden="1"/>
    </xf>
    <xf numFmtId="2" fontId="8" fillId="6" borderId="69" xfId="0" applyNumberFormat="1" applyFont="1" applyFill="1" applyBorder="1" applyAlignment="1" applyProtection="1">
      <alignment horizontal="center"/>
      <protection hidden="1"/>
    </xf>
    <xf numFmtId="2" fontId="8" fillId="6" borderId="63" xfId="0" applyNumberFormat="1" applyFont="1" applyFill="1" applyBorder="1" applyAlignment="1" applyProtection="1">
      <alignment horizontal="center"/>
      <protection hidden="1"/>
    </xf>
    <xf numFmtId="2" fontId="9" fillId="6" borderId="22" xfId="2" applyNumberFormat="1" applyFont="1" applyFill="1" applyBorder="1" applyAlignment="1" applyProtection="1">
      <alignment horizontal="center"/>
      <protection hidden="1"/>
    </xf>
    <xf numFmtId="2" fontId="9" fillId="6" borderId="24" xfId="2" applyNumberFormat="1" applyFont="1" applyFill="1" applyBorder="1" applyAlignment="1" applyProtection="1">
      <alignment horizontal="center"/>
      <protection hidden="1"/>
    </xf>
    <xf numFmtId="2" fontId="9" fillId="6" borderId="23" xfId="2" applyNumberFormat="1" applyFont="1" applyFill="1" applyBorder="1" applyAlignment="1" applyProtection="1">
      <alignment horizontal="center"/>
      <protection hidden="1"/>
    </xf>
    <xf numFmtId="2" fontId="9" fillId="6" borderId="0" xfId="2" applyNumberFormat="1" applyFont="1" applyFill="1" applyBorder="1" applyAlignment="1" applyProtection="1">
      <alignment horizontal="center"/>
      <protection hidden="1"/>
    </xf>
    <xf numFmtId="0" fontId="1" fillId="0" borderId="3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1" fillId="0" borderId="31" xfId="0" applyFont="1" applyBorder="1" applyAlignment="1">
      <alignment horizontal="center" vertical="center" wrapText="1"/>
    </xf>
    <xf numFmtId="0" fontId="61" fillId="0" borderId="26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169" fontId="5" fillId="19" borderId="14" xfId="0" applyNumberFormat="1" applyFont="1" applyFill="1" applyBorder="1" applyAlignment="1" applyProtection="1">
      <alignment horizontal="center" vertical="center" wrapText="1"/>
      <protection hidden="1"/>
    </xf>
    <xf numFmtId="169" fontId="5" fillId="19" borderId="70" xfId="0" applyNumberFormat="1" applyFont="1" applyFill="1" applyBorder="1" applyAlignment="1" applyProtection="1">
      <alignment horizontal="center" vertical="center" wrapText="1"/>
      <protection hidden="1"/>
    </xf>
    <xf numFmtId="169" fontId="6" fillId="2" borderId="59" xfId="0" applyNumberFormat="1" applyFont="1" applyFill="1" applyBorder="1" applyAlignment="1" applyProtection="1">
      <alignment horizontal="center" vertical="center" wrapText="1"/>
      <protection hidden="1"/>
    </xf>
    <xf numFmtId="169" fontId="6" fillId="2" borderId="62" xfId="0" applyNumberFormat="1" applyFont="1" applyFill="1" applyBorder="1" applyAlignment="1" applyProtection="1">
      <alignment horizontal="center" vertical="center" wrapText="1"/>
      <protection hidden="1"/>
    </xf>
    <xf numFmtId="169" fontId="6" fillId="2" borderId="61" xfId="0" applyNumberFormat="1" applyFont="1" applyFill="1" applyBorder="1" applyAlignment="1" applyProtection="1">
      <alignment horizontal="center" vertical="center" wrapText="1"/>
      <protection hidden="1"/>
    </xf>
    <xf numFmtId="169" fontId="6" fillId="2" borderId="13" xfId="0" applyNumberFormat="1" applyFont="1" applyFill="1" applyBorder="1" applyAlignment="1" applyProtection="1">
      <alignment horizontal="center" vertical="center" wrapText="1"/>
      <protection hidden="1"/>
    </xf>
  </cellXfs>
  <cellStyles count="5">
    <cellStyle name="Bueno" xfId="2" builtinId="26"/>
    <cellStyle name="Estilo 1" xfId="3" xr:uid="{00000000-0005-0000-0000-000001000000}"/>
    <cellStyle name="Estilo 2" xfId="4" xr:uid="{00000000-0005-0000-0000-000002000000}"/>
    <cellStyle name="Normal" xfId="0" builtinId="0"/>
    <cellStyle name="Porcentaje" xfId="1" builtinId="5"/>
  </cellStyles>
  <dxfs count="4"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rgb="FF00B050"/>
      </font>
      <fill>
        <patternFill>
          <bgColor theme="4" tint="0.39994506668294322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1F4E78"/>
      <color rgb="FFDDEBF7"/>
      <color rgb="FFB6FD03"/>
      <color rgb="FFFCE4D6"/>
      <color rgb="FF8DB4E2"/>
      <color rgb="FFCDD12F"/>
      <color rgb="FFF4B084"/>
      <color rgb="FFBDD7EE"/>
      <color rgb="FFACB9CA"/>
      <color rgb="FFAE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 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 '!$F$134:$F$136</c:f>
              <c:numCache>
                <c:formatCode>General</c:formatCode>
                <c:ptCount val="3"/>
                <c:pt idx="0">
                  <c:v>17.8</c:v>
                </c:pt>
                <c:pt idx="1">
                  <c:v>20.9</c:v>
                </c:pt>
                <c:pt idx="2" formatCode="0.0">
                  <c:v>23.9</c:v>
                </c:pt>
              </c:numCache>
            </c:numRef>
          </c:xVal>
          <c:yVal>
            <c:numRef>
              <c:f>'DATOS # '!$H$134:$H$136</c:f>
              <c:numCache>
                <c:formatCode>0.0</c:formatCode>
                <c:ptCount val="3"/>
                <c:pt idx="0">
                  <c:v>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032512"/>
        <c:axId val="364030944"/>
      </c:scatterChart>
      <c:valAx>
        <c:axId val="364032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030944"/>
        <c:crosses val="autoZero"/>
        <c:crossBetween val="midCat"/>
      </c:valAx>
      <c:valAx>
        <c:axId val="36403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032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 '!$A$156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 '!$F$156:$F$158</c:f>
              <c:numCache>
                <c:formatCode>General</c:formatCode>
                <c:ptCount val="3"/>
                <c:pt idx="0" formatCode="0.0">
                  <c:v>15.1</c:v>
                </c:pt>
                <c:pt idx="1">
                  <c:v>24.9</c:v>
                </c:pt>
                <c:pt idx="2">
                  <c:v>34.700000000000003</c:v>
                </c:pt>
              </c:numCache>
            </c:numRef>
          </c:xVal>
          <c:yVal>
            <c:numRef>
              <c:f>'DATOS # '!$H$156:$H$158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30-486D-A5D4-8BB7C0451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812312"/>
        <c:axId val="360813096"/>
      </c:scatterChart>
      <c:valAx>
        <c:axId val="360812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0813096"/>
        <c:crosses val="autoZero"/>
        <c:crossBetween val="midCat"/>
      </c:valAx>
      <c:valAx>
        <c:axId val="36081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0812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 '!$A$159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 '!$F$159:$F$161</c:f>
              <c:numCache>
                <c:formatCode>General</c:formatCode>
                <c:ptCount val="3"/>
                <c:pt idx="0">
                  <c:v>32.700000000000003</c:v>
                </c:pt>
                <c:pt idx="1">
                  <c:v>50.5</c:v>
                </c:pt>
                <c:pt idx="2">
                  <c:v>76.7</c:v>
                </c:pt>
              </c:numCache>
            </c:numRef>
          </c:xVal>
          <c:yVal>
            <c:numRef>
              <c:f>'DATOS # '!$H$159:$H$161</c:f>
              <c:numCache>
                <c:formatCode>General</c:formatCode>
                <c:ptCount val="3"/>
                <c:pt idx="0">
                  <c:v>-2.7</c:v>
                </c:pt>
                <c:pt idx="1">
                  <c:v>-0.5</c:v>
                </c:pt>
                <c:pt idx="2">
                  <c:v>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85-4B72-BCF9-53F3C71A0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029768"/>
        <c:axId val="364030160"/>
      </c:scatterChart>
      <c:valAx>
        <c:axId val="364029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030160"/>
        <c:crosses val="autoZero"/>
        <c:crossBetween val="midCat"/>
      </c:valAx>
      <c:valAx>
        <c:axId val="36403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029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 '!$A$162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 '!$F$162:$F$164</c:f>
              <c:numCache>
                <c:formatCode>General</c:formatCode>
                <c:ptCount val="3"/>
                <c:pt idx="0" formatCode="0.0">
                  <c:v>399.52300000000002</c:v>
                </c:pt>
                <c:pt idx="1">
                  <c:v>752.18100000000004</c:v>
                </c:pt>
                <c:pt idx="2">
                  <c:v>1099.1110000000001</c:v>
                </c:pt>
              </c:numCache>
            </c:numRef>
          </c:xVal>
          <c:yVal>
            <c:numRef>
              <c:f>'DATOS # '!$H$162:$H$164</c:f>
              <c:numCache>
                <c:formatCode>0.00</c:formatCode>
                <c:ptCount val="3"/>
                <c:pt idx="0">
                  <c:v>1.96</c:v>
                </c:pt>
                <c:pt idx="1">
                  <c:v>1.1479999999999999</c:v>
                </c:pt>
                <c:pt idx="2">
                  <c:v>1.0669999999999999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9A-4B15-847C-48C43FB82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537456"/>
        <c:axId val="361539416"/>
      </c:scatterChart>
      <c:valAx>
        <c:axId val="36153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1539416"/>
        <c:crosses val="autoZero"/>
        <c:crossBetween val="midCat"/>
      </c:valAx>
      <c:valAx>
        <c:axId val="36153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1537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 '!$A$145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 '!$F$145:$F$147</c:f>
              <c:numCache>
                <c:formatCode>General</c:formatCode>
                <c:ptCount val="3"/>
                <c:pt idx="0" formatCode="0.0">
                  <c:v>14.8</c:v>
                </c:pt>
                <c:pt idx="1">
                  <c:v>24.8</c:v>
                </c:pt>
                <c:pt idx="2">
                  <c:v>29.8</c:v>
                </c:pt>
              </c:numCache>
            </c:numRef>
          </c:xVal>
          <c:yVal>
            <c:numRef>
              <c:f>'DATOS # '!$H$145:$H$147</c:f>
              <c:numCache>
                <c:formatCode>General</c:formatCode>
                <c:ptCount val="3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58-4B77-8327-CCD59AC0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539024"/>
        <c:axId val="361540200"/>
      </c:scatterChart>
      <c:valAx>
        <c:axId val="361539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1540200"/>
        <c:crosses val="autoZero"/>
        <c:crossBetween val="midCat"/>
      </c:valAx>
      <c:valAx>
        <c:axId val="36154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1539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 '!$A$148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848414868416676"/>
                  <c:y val="-0.348411191864101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 '!$F$148:$F$150</c:f>
              <c:numCache>
                <c:formatCode>General</c:formatCode>
                <c:ptCount val="3"/>
                <c:pt idx="0">
                  <c:v>33.4</c:v>
                </c:pt>
                <c:pt idx="1">
                  <c:v>51.1</c:v>
                </c:pt>
                <c:pt idx="2">
                  <c:v>76.8</c:v>
                </c:pt>
              </c:numCache>
            </c:numRef>
          </c:xVal>
          <c:yVal>
            <c:numRef>
              <c:f>'DATOS # '!$H$148:$H$150</c:f>
              <c:numCache>
                <c:formatCode>#,##0.0</c:formatCode>
                <c:ptCount val="3"/>
                <c:pt idx="0">
                  <c:v>-3.4</c:v>
                </c:pt>
                <c:pt idx="1">
                  <c:v>-1.1000000000000001</c:v>
                </c:pt>
                <c:pt idx="2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BB-4478-9686-9255F56EA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537848"/>
        <c:axId val="361538240"/>
      </c:scatterChart>
      <c:valAx>
        <c:axId val="361537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1538240"/>
        <c:crosses val="autoZero"/>
        <c:crossBetween val="midCat"/>
      </c:valAx>
      <c:valAx>
        <c:axId val="36153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1537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 '!$A$151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 '!$F$151:$F$153</c:f>
              <c:numCache>
                <c:formatCode>General</c:formatCode>
                <c:ptCount val="3"/>
                <c:pt idx="0" formatCode="0.0">
                  <c:v>499.02600000000001</c:v>
                </c:pt>
                <c:pt idx="1">
                  <c:v>752.18100000000004</c:v>
                </c:pt>
                <c:pt idx="2">
                  <c:v>900.66499999999996</c:v>
                </c:pt>
              </c:numCache>
            </c:numRef>
          </c:xVal>
          <c:yVal>
            <c:numRef>
              <c:f>'DATOS # '!$H$151:$H$153</c:f>
              <c:numCache>
                <c:formatCode>#,##0.00</c:formatCode>
                <c:ptCount val="3"/>
                <c:pt idx="0">
                  <c:v>1.573</c:v>
                </c:pt>
                <c:pt idx="1">
                  <c:v>1.0469999999999999</c:v>
                </c:pt>
                <c:pt idx="2">
                  <c:v>0.73699999999999999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CE-4343-A090-484BAA2CD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540592"/>
        <c:axId val="361543336"/>
      </c:scatterChart>
      <c:valAx>
        <c:axId val="36154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1543336"/>
        <c:crosses val="autoZero"/>
        <c:crossBetween val="midCat"/>
      </c:valAx>
      <c:valAx>
        <c:axId val="36154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1540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09034181373665E-2"/>
          <c:y val="0.13087588589447324"/>
          <c:w val="0.89016256604346367"/>
          <c:h val="0.80768101300863082"/>
        </c:manualLayout>
      </c:layout>
      <c:scatterChart>
        <c:scatterStyle val="smoothMarker"/>
        <c:varyColors val="0"/>
        <c:ser>
          <c:idx val="0"/>
          <c:order val="0"/>
          <c:tx>
            <c:v>Ecuación</c:v>
          </c:tx>
          <c:spPr>
            <a:ln w="22225" cap="rnd">
              <a:solidFill>
                <a:srgbClr val="FF0000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circl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FFFF00"/>
                </a:solidFill>
              </a:ln>
              <a:effectLst>
                <a:glow rad="63500">
                  <a:schemeClr val="accent6">
                    <a:satMod val="175000"/>
                    <a:alpha val="25000"/>
                  </a:schemeClr>
                </a:glow>
              </a:effectLst>
            </c:spPr>
          </c:marker>
          <c:dLbls>
            <c:dLbl>
              <c:idx val="0"/>
              <c:layout>
                <c:manualLayout>
                  <c:x val="-3.2373725344309501E-3"/>
                  <c:y val="-4.0752992581235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ED-49B3-93EF-71BB7A467D23}"/>
                </c:ext>
              </c:extLst>
            </c:dLbl>
            <c:dLbl>
              <c:idx val="1"/>
              <c:layout>
                <c:manualLayout>
                  <c:x val="-6.3976991042840716E-3"/>
                  <c:y val="7.5275590145478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BD-45C2-8E47-6011A21C4719}"/>
                </c:ext>
              </c:extLst>
            </c:dLbl>
            <c:dLbl>
              <c:idx val="2"/>
              <c:layout>
                <c:manualLayout>
                  <c:x val="-2.9457031847063774E-3"/>
                  <c:y val="0.104721679071121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BD-45C2-8E47-6011A21C4719}"/>
                </c:ext>
              </c:extLst>
            </c:dLbl>
            <c:dLbl>
              <c:idx val="3"/>
              <c:layout>
                <c:manualLayout>
                  <c:x val="-4.0963684912322471E-3"/>
                  <c:y val="7.2003802487073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BD-45C2-8E47-6011A21C4719}"/>
                </c:ext>
              </c:extLst>
            </c:dLbl>
            <c:dLbl>
              <c:idx val="4"/>
              <c:layout>
                <c:manualLayout>
                  <c:x val="-3.3185187440207306E-2"/>
                  <c:y val="-7.5226642141140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BD-45C2-8E47-6011A21C47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6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6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6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6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6350" cap="rnd" cmpd="dbl">
                <a:solidFill>
                  <a:srgbClr val="B6FD03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6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6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6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6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6896776922393883"/>
                  <c:y val="-7.495198846248252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errBars>
            <c:errDir val="y"/>
            <c:errBarType val="both"/>
            <c:errValType val="fixedVal"/>
            <c:noEndCap val="0"/>
            <c:val val="1"/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'RT03-F34 #'!$N$128:$N$132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'RT03-F34 #'!$O$128:$O$132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5C-48CB-9721-F102F978F3F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361536280"/>
        <c:axId val="361541376"/>
      </c:scatterChart>
      <c:valAx>
        <c:axId val="361536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Carga (g)</a:t>
                </a:r>
              </a:p>
            </c:rich>
          </c:tx>
          <c:layout>
            <c:manualLayout>
              <c:xMode val="edge"/>
              <c:yMode val="edge"/>
              <c:x val="0.48748769263790748"/>
              <c:y val="0.86590565400974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1541376"/>
        <c:crosses val="autoZero"/>
        <c:crossBetween val="midCat"/>
      </c:valAx>
      <c:valAx>
        <c:axId val="361541376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aseline="0"/>
                  <a:t>Incertidumbre (mg)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1536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Aporte a la incertidumbre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('RT03-F34 #'!$A$73:$B$77,'RT03-F34 #'!$A$80:$B$82)</c:f>
              <c:strCache>
                <c:ptCount val="8"/>
                <c:pt idx="0">
                  <c:v>Excentricidad</c:v>
                </c:pt>
                <c:pt idx="1">
                  <c:v>Repetibilidad</c:v>
                </c:pt>
                <c:pt idx="2">
                  <c:v>Repetibilidad del método</c:v>
                </c:pt>
                <c:pt idx="3">
                  <c:v>Prueba de error de indicación (redondeo de la indicación sin carga)</c:v>
                </c:pt>
                <c:pt idx="4">
                  <c:v>Prueba de error de indicación (redondeo de la indicación con carga)</c:v>
                </c:pt>
                <c:pt idx="5">
                  <c:v>Incertidumbre por pesas patrón</c:v>
                </c:pt>
                <c:pt idx="6">
                  <c:v>incertidumbre  por empuje</c:v>
                </c:pt>
                <c:pt idx="7">
                  <c:v>incertidumbre por  deriva</c:v>
                </c:pt>
              </c:strCache>
            </c:strRef>
          </c:cat>
          <c:val>
            <c:numRef>
              <c:f>('RT03-F34 #'!$M$73:$M$77,'RT03-F34 #'!$M$80:$M$82)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2-4CBB-8B59-4CA643ACF86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61541768"/>
        <c:axId val="361542160"/>
      </c:barChart>
      <c:catAx>
        <c:axId val="36154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1542160"/>
        <c:crosses val="autoZero"/>
        <c:auto val="1"/>
        <c:lblAlgn val="ctr"/>
        <c:lblOffset val="100"/>
        <c:noMultiLvlLbl val="0"/>
      </c:catAx>
      <c:valAx>
        <c:axId val="3615421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61541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DESVIACIÓN ESTÁNDAR HISTÓRICO SEGÚN CALIBRACIÓNES Y</a:t>
            </a:r>
            <a:r>
              <a:rPr lang="en-US" baseline="0"/>
              <a:t> COMPROBACIONES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DESVIACIÓN ESTÁNDAR HISTÓRICO SEGÚN CALIBRACIÓNES Y COMPROBACIONES </c:v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B0F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0E-41A6-8146-2AF9C793FC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0E-41A6-8146-2AF9C793FC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0E-41A6-8146-2AF9C793FC1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0E-41A6-8146-2AF9C793FC1D}"/>
              </c:ext>
            </c:extLst>
          </c:dPt>
          <c:dPt>
            <c:idx val="4"/>
            <c:marker>
              <c:spPr>
                <a:solidFill>
                  <a:srgbClr val="FFFF00"/>
                </a:solidFill>
                <a:ln w="9525">
                  <a:solidFill>
                    <a:srgbClr val="FFFF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10E-41A6-8146-2AF9C793FC1D}"/>
              </c:ext>
            </c:extLst>
          </c:dPt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Lit>
              <c:ptCount val="5"/>
              <c:pt idx="0">
                <c:v>Fabricante</c:v>
              </c:pt>
              <c:pt idx="1">
                <c:v>Calibración 2016-11-10</c:v>
              </c:pt>
              <c:pt idx="2">
                <c:v>Calibración 2018-06-08</c:v>
              </c:pt>
              <c:pt idx="3">
                <c:v>Calibración 2020-06-01</c:v>
              </c:pt>
              <c:pt idx="4">
                <c:v>Comprobación 27/07/2020</c:v>
              </c:pt>
            </c:strLit>
          </c:cat>
          <c:val>
            <c:numLit>
              <c:formatCode>General</c:formatCode>
              <c:ptCount val="5"/>
              <c:pt idx="0">
                <c:v>7</c:v>
              </c:pt>
              <c:pt idx="1">
                <c:v>5.16</c:v>
              </c:pt>
              <c:pt idx="2">
                <c:v>6</c:v>
              </c:pt>
              <c:pt idx="3">
                <c:v>6</c:v>
              </c:pt>
              <c:pt idx="4">
                <c:v>4.2163702136498733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310E-41A6-8146-2AF9C793F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538632"/>
        <c:axId val="436049336"/>
      </c:lineChart>
      <c:catAx>
        <c:axId val="361538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049336"/>
        <c:crosses val="autoZero"/>
        <c:auto val="1"/>
        <c:lblAlgn val="ctr"/>
        <c:lblOffset val="100"/>
        <c:noMultiLvlLbl val="0"/>
      </c:catAx>
      <c:valAx>
        <c:axId val="436049336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1538632"/>
        <c:crosses val="autoZero"/>
        <c:crossBetween val="between"/>
      </c:valAx>
      <c:spPr>
        <a:solidFill>
          <a:schemeClr val="accent6">
            <a:lumMod val="60000"/>
            <a:lumOff val="4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Carga</a:t>
            </a:r>
            <a:r>
              <a:rPr lang="en-US" baseline="0"/>
              <a:t> de 5 g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1190239059451396"/>
          <c:y val="0.27784722685881863"/>
          <c:w val="0.7562171585857882"/>
          <c:h val="0.68632714797105399"/>
        </c:manualLayout>
      </c:layout>
      <c:lineChart>
        <c:grouping val="standard"/>
        <c:varyColors val="0"/>
        <c:ser>
          <c:idx val="0"/>
          <c:order val="0"/>
          <c:tx>
            <c:strRef>
              <c:f>'Pc # '!$F$6</c:f>
              <c:strCache>
                <c:ptCount val="1"/>
                <c:pt idx="0">
                  <c:v>Error en masa convencional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5.765433958959168E-2"/>
                  <c:y val="-0.134349647266313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CA-46AE-AB68-5396A5A1EB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'Pc # '!$G$7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'Pc # '!$G$7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'Pc # '!$F$7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CA-46AE-AB68-5396A5A1EB37}"/>
            </c:ext>
          </c:extLst>
        </c:ser>
        <c:ser>
          <c:idx val="1"/>
          <c:order val="1"/>
          <c:tx>
            <c:strRef>
              <c:f>'Pc # '!$H$6</c:f>
              <c:strCache>
                <c:ptCount val="1"/>
                <c:pt idx="0">
                  <c:v> ±EMP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'Pc # '!$P$6:$P$9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CA-46AE-AB68-5396A5A1EB37}"/>
            </c:ext>
          </c:extLst>
        </c:ser>
        <c:ser>
          <c:idx val="2"/>
          <c:order val="2"/>
          <c:tx>
            <c:strRef>
              <c:f>'Pc # '!$I$6</c:f>
              <c:strCache>
                <c:ptCount val="1"/>
                <c:pt idx="0">
                  <c:v> ±EMP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'Pc # '!$Q$6:$Q$9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CA-46AE-AB68-5396A5A1EB3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6050512"/>
        <c:axId val="436053648"/>
      </c:lineChart>
      <c:dateAx>
        <c:axId val="4360505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solidFill>
            <a:schemeClr val="bg1"/>
          </a:solidFill>
          <a:ln w="12700" cap="flat" cmpd="sng" algn="ctr">
            <a:solidFill>
              <a:srgbClr val="00B0F0">
                <a:alpha val="98000"/>
              </a:srgbClr>
            </a:solidFill>
            <a:round/>
          </a:ln>
          <a:effectLst>
            <a:glow>
              <a:srgbClr val="FFFF00">
                <a:alpha val="93000"/>
              </a:srgb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053648"/>
        <c:crosses val="autoZero"/>
        <c:auto val="0"/>
        <c:lblOffset val="100"/>
        <c:baseTimeUnit val="days"/>
        <c:majorUnit val="1"/>
      </c:dateAx>
      <c:valAx>
        <c:axId val="43605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Error en masa convencional</a:t>
                </a:r>
              </a:p>
            </c:rich>
          </c:tx>
          <c:layout>
            <c:manualLayout>
              <c:xMode val="edge"/>
              <c:yMode val="edge"/>
              <c:x val="1.9908013478628535E-2"/>
              <c:y val="0.10173645528922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050512"/>
        <c:crossesAt val="1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 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 '!$F$137:$F$139</c:f>
              <c:numCache>
                <c:formatCode>0.0</c:formatCode>
                <c:ptCount val="3"/>
                <c:pt idx="0" formatCode="General">
                  <c:v>33.5</c:v>
                </c:pt>
                <c:pt idx="1">
                  <c:v>55.7</c:v>
                </c:pt>
                <c:pt idx="2" formatCode="General">
                  <c:v>77.3</c:v>
                </c:pt>
              </c:numCache>
            </c:numRef>
          </c:xVal>
          <c:yVal>
            <c:numRef>
              <c:f>'DATOS # '!$H$137:$H$139</c:f>
              <c:numCache>
                <c:formatCode>0.0</c:formatCode>
                <c:ptCount val="3"/>
                <c:pt idx="0" formatCode="General">
                  <c:v>-3.6</c:v>
                </c:pt>
                <c:pt idx="1">
                  <c:v>-0.7</c:v>
                </c:pt>
                <c:pt idx="2" formatCode="General">
                  <c:v>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036432"/>
        <c:axId val="364034080"/>
      </c:scatterChart>
      <c:valAx>
        <c:axId val="36403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034080"/>
        <c:crosses val="autoZero"/>
        <c:crossBetween val="midCat"/>
      </c:valAx>
      <c:valAx>
        <c:axId val="36403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036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Carga</a:t>
            </a:r>
            <a:r>
              <a:rPr lang="en-US" baseline="0"/>
              <a:t> de 2 000 g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1190239059451396"/>
          <c:y val="0.27784722685881863"/>
          <c:w val="0.7562171585857882"/>
          <c:h val="0.68632714797105399"/>
        </c:manualLayout>
      </c:layout>
      <c:lineChart>
        <c:grouping val="standard"/>
        <c:varyColors val="0"/>
        <c:ser>
          <c:idx val="0"/>
          <c:order val="0"/>
          <c:tx>
            <c:strRef>
              <c:f>'Pc # '!$F$6</c:f>
              <c:strCache>
                <c:ptCount val="1"/>
                <c:pt idx="0">
                  <c:v>Error en masa convencional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5393100563795612E-2"/>
                  <c:y val="-0.112435201257766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83-4BF9-A81F-89AD200746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'Pc # '!$G$8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'Pc # '!$G$8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'Pc # '!$F$8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71-45F3-B156-03DA0CBC68AB}"/>
            </c:ext>
          </c:extLst>
        </c:ser>
        <c:ser>
          <c:idx val="1"/>
          <c:order val="1"/>
          <c:tx>
            <c:strRef>
              <c:f>'Pc # '!$H$6</c:f>
              <c:strCache>
                <c:ptCount val="1"/>
                <c:pt idx="0">
                  <c:v> ±EMP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'Pc # '!$P$6:$P$9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71-45F3-B156-03DA0CBC68AB}"/>
            </c:ext>
          </c:extLst>
        </c:ser>
        <c:ser>
          <c:idx val="2"/>
          <c:order val="2"/>
          <c:tx>
            <c:strRef>
              <c:f>'Pc # '!$I$6</c:f>
              <c:strCache>
                <c:ptCount val="1"/>
                <c:pt idx="0">
                  <c:v> ±EMP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'Pc # '!$Q$6:$Q$9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71-45F3-B156-03DA0CBC6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47376"/>
        <c:axId val="436047768"/>
      </c:lineChart>
      <c:dateAx>
        <c:axId val="4360473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solidFill>
            <a:schemeClr val="bg1"/>
          </a:solidFill>
          <a:ln w="12700" cap="flat" cmpd="sng" algn="ctr">
            <a:solidFill>
              <a:srgbClr val="00B0F0">
                <a:alpha val="98000"/>
              </a:srgbClr>
            </a:solidFill>
            <a:round/>
          </a:ln>
          <a:effectLst>
            <a:glow>
              <a:srgbClr val="FFFF00">
                <a:alpha val="93000"/>
              </a:srgb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047768"/>
        <c:crosses val="autoZero"/>
        <c:auto val="0"/>
        <c:lblOffset val="100"/>
        <c:baseTimeUnit val="days"/>
        <c:majorUnit val="1"/>
      </c:dateAx>
      <c:valAx>
        <c:axId val="436047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Error en masa convencional</a:t>
                </a:r>
              </a:p>
            </c:rich>
          </c:tx>
          <c:layout>
            <c:manualLayout>
              <c:xMode val="edge"/>
              <c:yMode val="edge"/>
              <c:x val="1.9908013478628535E-2"/>
              <c:y val="0.10173645528922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047376"/>
        <c:crossesAt val="1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Carga</a:t>
            </a:r>
            <a:r>
              <a:rPr lang="en-US" baseline="0"/>
              <a:t> de 4 000 g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1190239059451396"/>
          <c:y val="0.27784722685881863"/>
          <c:w val="0.7562171585857882"/>
          <c:h val="0.68632714797105399"/>
        </c:manualLayout>
      </c:layout>
      <c:lineChart>
        <c:grouping val="standard"/>
        <c:varyColors val="0"/>
        <c:ser>
          <c:idx val="0"/>
          <c:order val="0"/>
          <c:tx>
            <c:strRef>
              <c:f>'Pc # '!$F$6</c:f>
              <c:strCache>
                <c:ptCount val="1"/>
                <c:pt idx="0">
                  <c:v>Error en masa convencional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'Pc # '!$G$9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'Pc # '!$G$9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'Pc # '!$F$9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CE-447F-BF99-2AAABA27E4F9}"/>
            </c:ext>
          </c:extLst>
        </c:ser>
        <c:ser>
          <c:idx val="1"/>
          <c:order val="1"/>
          <c:tx>
            <c:strRef>
              <c:f>'Pc # '!$H$6</c:f>
              <c:strCache>
                <c:ptCount val="1"/>
                <c:pt idx="0">
                  <c:v> ±EMP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'Pc # '!$P$6:$P$9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E-447F-BF99-2AAABA27E4F9}"/>
            </c:ext>
          </c:extLst>
        </c:ser>
        <c:ser>
          <c:idx val="2"/>
          <c:order val="2"/>
          <c:tx>
            <c:strRef>
              <c:f>'Pc # '!$I$6</c:f>
              <c:strCache>
                <c:ptCount val="1"/>
                <c:pt idx="0">
                  <c:v> ±EMP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'Pc # '!$Q$6:$Q$9</c:f>
              <c:numCache>
                <c:formatCode>General</c:formatCode>
                <c:ptCount val="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CE-447F-BF99-2AAABA27E4F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6052472"/>
        <c:axId val="436050904"/>
      </c:lineChart>
      <c:dateAx>
        <c:axId val="436052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solidFill>
            <a:schemeClr val="bg1"/>
          </a:solidFill>
          <a:ln w="12700" cap="flat" cmpd="sng" algn="ctr">
            <a:solidFill>
              <a:srgbClr val="00B0F0">
                <a:alpha val="98000"/>
              </a:srgbClr>
            </a:solidFill>
            <a:round/>
          </a:ln>
          <a:effectLst>
            <a:glow>
              <a:srgbClr val="FFFF00">
                <a:alpha val="93000"/>
              </a:srgb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050904"/>
        <c:crosses val="autoZero"/>
        <c:auto val="0"/>
        <c:lblOffset val="100"/>
        <c:baseTimeUnit val="days"/>
        <c:majorUnit val="1"/>
      </c:dateAx>
      <c:valAx>
        <c:axId val="43605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Error en masa convencional</a:t>
                </a:r>
              </a:p>
            </c:rich>
          </c:tx>
          <c:layout>
            <c:manualLayout>
              <c:xMode val="edge"/>
              <c:yMode val="edge"/>
              <c:x val="1.9908013478628535E-2"/>
              <c:y val="0.10173645528922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052472"/>
        <c:crossesAt val="1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Carga</a:t>
            </a:r>
            <a:r>
              <a:rPr lang="en-US" baseline="0"/>
              <a:t> de 6 000 g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1190239059451396"/>
          <c:y val="0.27784722685881863"/>
          <c:w val="0.7562171585857882"/>
          <c:h val="0.68632714797105399"/>
        </c:manualLayout>
      </c:layout>
      <c:lineChart>
        <c:grouping val="standard"/>
        <c:varyColors val="0"/>
        <c:ser>
          <c:idx val="0"/>
          <c:order val="0"/>
          <c:tx>
            <c:strRef>
              <c:f>'Pc # '!$F$6</c:f>
              <c:strCache>
                <c:ptCount val="1"/>
                <c:pt idx="0">
                  <c:v>Error en masa convencional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3.9666076306330213E-2"/>
                  <c:y val="-0.144570991418647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BD-4076-A1E1-A106D268B7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'Pc # '!$G$10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'Pc # '!$G$10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'Pc # '!$F$10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D-401C-8747-6F483D8420B2}"/>
            </c:ext>
          </c:extLst>
        </c:ser>
        <c:ser>
          <c:idx val="1"/>
          <c:order val="1"/>
          <c:tx>
            <c:strRef>
              <c:f>'Pc # '!$H$6</c:f>
              <c:strCache>
                <c:ptCount val="1"/>
                <c:pt idx="0">
                  <c:v> ±EMP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'Pc # '!$P$10:$P$11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2D-401C-8747-6F483D8420B2}"/>
            </c:ext>
          </c:extLst>
        </c:ser>
        <c:ser>
          <c:idx val="2"/>
          <c:order val="2"/>
          <c:tx>
            <c:strRef>
              <c:f>'Pc # '!$I$6</c:f>
              <c:strCache>
                <c:ptCount val="1"/>
                <c:pt idx="0">
                  <c:v> ±EMP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1BD-4076-A1E1-A106D268B7C5}"/>
              </c:ext>
            </c:extLst>
          </c:dPt>
          <c:dLbls>
            <c:delete val="1"/>
          </c:dLbls>
          <c:val>
            <c:numRef>
              <c:f>'Pc # '!$Q$10:$Q$11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2D-401C-8747-6F483D8420B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6053256"/>
        <c:axId val="436051688"/>
      </c:lineChart>
      <c:dateAx>
        <c:axId val="4360532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solidFill>
            <a:schemeClr val="bg1"/>
          </a:solidFill>
          <a:ln w="12700" cap="flat" cmpd="sng" algn="ctr">
            <a:solidFill>
              <a:srgbClr val="00B0F0">
                <a:alpha val="98000"/>
              </a:srgbClr>
            </a:solidFill>
            <a:round/>
          </a:ln>
          <a:effectLst>
            <a:glow>
              <a:srgbClr val="FFFF00">
                <a:alpha val="93000"/>
              </a:srgb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051688"/>
        <c:crosses val="autoZero"/>
        <c:auto val="0"/>
        <c:lblOffset val="100"/>
        <c:baseTimeUnit val="days"/>
        <c:majorUnit val="1"/>
      </c:dateAx>
      <c:valAx>
        <c:axId val="43605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Error en masa convencional</a:t>
                </a:r>
              </a:p>
            </c:rich>
          </c:tx>
          <c:layout>
            <c:manualLayout>
              <c:xMode val="edge"/>
              <c:yMode val="edge"/>
              <c:x val="1.9908013478628535E-2"/>
              <c:y val="0.10173645528922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053256"/>
        <c:crossesAt val="1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Carga</a:t>
            </a:r>
            <a:r>
              <a:rPr lang="en-US" baseline="0"/>
              <a:t> de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1190239059451396"/>
          <c:y val="0.27784722685881863"/>
          <c:w val="0.7562171585857882"/>
          <c:h val="0.68632714797105399"/>
        </c:manualLayout>
      </c:layout>
      <c:lineChart>
        <c:grouping val="standard"/>
        <c:varyColors val="0"/>
        <c:ser>
          <c:idx val="0"/>
          <c:order val="0"/>
          <c:tx>
            <c:strRef>
              <c:f>'Pc # '!$F$6</c:f>
              <c:strCache>
                <c:ptCount val="1"/>
                <c:pt idx="0">
                  <c:v>Error en masa convencional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3496906647587235E-2"/>
                  <c:y val="-0.112435201257766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08-4C4B-971D-7CE78FD3B6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'Pc # '!$G$11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'Pc # '!$G$11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'Pc # '!$F$11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0-4269-A7D9-66BFCA331D29}"/>
            </c:ext>
          </c:extLst>
        </c:ser>
        <c:ser>
          <c:idx val="1"/>
          <c:order val="1"/>
          <c:tx>
            <c:strRef>
              <c:f>'Pc # '!$H$6</c:f>
              <c:strCache>
                <c:ptCount val="1"/>
                <c:pt idx="0">
                  <c:v> ±EMP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'Pc # '!$P$10:$P$11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0-4269-A7D9-66BFCA331D29}"/>
            </c:ext>
          </c:extLst>
        </c:ser>
        <c:ser>
          <c:idx val="2"/>
          <c:order val="2"/>
          <c:tx>
            <c:strRef>
              <c:f>'Pc # '!$I$6</c:f>
              <c:strCache>
                <c:ptCount val="1"/>
                <c:pt idx="0">
                  <c:v> ±EMP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508-4C4B-971D-7CE78FD3B6DC}"/>
              </c:ext>
            </c:extLst>
          </c:dPt>
          <c:dLbls>
            <c:delete val="1"/>
          </c:dLbls>
          <c:val>
            <c:numRef>
              <c:f>'Pc # '!$Q$10:$Q$11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20-4269-A7D9-66BFCA331D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6048160"/>
        <c:axId val="436049728"/>
      </c:lineChart>
      <c:dateAx>
        <c:axId val="4360481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solidFill>
            <a:schemeClr val="bg1"/>
          </a:solidFill>
          <a:ln w="12700" cap="flat" cmpd="sng" algn="ctr">
            <a:solidFill>
              <a:srgbClr val="00B0F0">
                <a:alpha val="98000"/>
              </a:srgbClr>
            </a:solidFill>
            <a:round/>
          </a:ln>
          <a:effectLst>
            <a:glow>
              <a:srgbClr val="FFFF00">
                <a:alpha val="93000"/>
              </a:srgb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049728"/>
        <c:crosses val="autoZero"/>
        <c:auto val="0"/>
        <c:lblOffset val="100"/>
        <c:baseTimeUnit val="days"/>
        <c:majorUnit val="1"/>
      </c:dateAx>
      <c:valAx>
        <c:axId val="43604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Error en masa convencional</a:t>
                </a:r>
              </a:p>
            </c:rich>
          </c:tx>
          <c:layout>
            <c:manualLayout>
              <c:xMode val="edge"/>
              <c:yMode val="edge"/>
              <c:x val="1.9908013478628535E-2"/>
              <c:y val="0.10173645528922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6048160"/>
        <c:crossesAt val="1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 '!$A$140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 '!$F$140:$F$142</c:f>
              <c:numCache>
                <c:formatCode>General</c:formatCode>
                <c:ptCount val="3"/>
                <c:pt idx="0">
                  <c:v>499.346</c:v>
                </c:pt>
                <c:pt idx="1">
                  <c:v>752.18</c:v>
                </c:pt>
                <c:pt idx="2" formatCode="0.0">
                  <c:v>900.64499999999998</c:v>
                </c:pt>
              </c:numCache>
            </c:numRef>
          </c:xVal>
          <c:yVal>
            <c:numRef>
              <c:f>'DATOS # '!$H$140:$H$142</c:f>
              <c:numCache>
                <c:formatCode>General</c:formatCode>
                <c:ptCount val="3"/>
                <c:pt idx="0" formatCode="0.000">
                  <c:v>1.6890000000000001</c:v>
                </c:pt>
                <c:pt idx="1">
                  <c:v>1.0169999999999999</c:v>
                </c:pt>
                <c:pt idx="2">
                  <c:v>0.80700000000000005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032904"/>
        <c:axId val="364035256"/>
      </c:scatterChart>
      <c:valAx>
        <c:axId val="364032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035256"/>
        <c:crosses val="autoZero"/>
        <c:crossBetween val="midCat"/>
      </c:valAx>
      <c:valAx>
        <c:axId val="36403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032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 '!$A$177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 '!$F$177:$F$179</c:f>
              <c:numCache>
                <c:formatCode>0.0</c:formatCode>
                <c:ptCount val="3"/>
                <c:pt idx="0" formatCode="General">
                  <c:v>16.8</c:v>
                </c:pt>
                <c:pt idx="1">
                  <c:v>19.899999999999999</c:v>
                </c:pt>
                <c:pt idx="2">
                  <c:v>22.9</c:v>
                </c:pt>
              </c:numCache>
            </c:numRef>
          </c:xVal>
          <c:yVal>
            <c:numRef>
              <c:f>'DATOS # '!$H$177:$H$179</c:f>
              <c:numCache>
                <c:formatCode>0.0</c:formatCode>
                <c:ptCount val="3"/>
                <c:pt idx="0">
                  <c:v>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E6-46EF-AC04-21F1CD5DC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815840"/>
        <c:axId val="360818584"/>
      </c:scatterChart>
      <c:valAx>
        <c:axId val="36081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0818584"/>
        <c:crosses val="autoZero"/>
        <c:crossBetween val="midCat"/>
      </c:valAx>
      <c:valAx>
        <c:axId val="36081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0815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 '!$A$180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566452924726993"/>
                  <c:y val="-0.427843780490855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 '!$F$180:$F$182</c:f>
              <c:numCache>
                <c:formatCode>General</c:formatCode>
                <c:ptCount val="3"/>
                <c:pt idx="0">
                  <c:v>33.299999999999997</c:v>
                </c:pt>
                <c:pt idx="1">
                  <c:v>55.9</c:v>
                </c:pt>
                <c:pt idx="2">
                  <c:v>78.2</c:v>
                </c:pt>
              </c:numCache>
            </c:numRef>
          </c:xVal>
          <c:yVal>
            <c:numRef>
              <c:f>'DATOS # '!$H$180:$H$182</c:f>
              <c:numCache>
                <c:formatCode>General</c:formatCode>
                <c:ptCount val="3"/>
                <c:pt idx="0">
                  <c:v>-3.3</c:v>
                </c:pt>
                <c:pt idx="1">
                  <c:v>-0.9</c:v>
                </c:pt>
                <c:pt idx="2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68-462A-A72D-A04144622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816232"/>
        <c:axId val="360815056"/>
      </c:scatterChart>
      <c:valAx>
        <c:axId val="360816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0815056"/>
        <c:crosses val="autoZero"/>
        <c:crossBetween val="midCat"/>
      </c:valAx>
      <c:valAx>
        <c:axId val="36081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0816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 '!$A$183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 '!$F$183:$F$185</c:f>
              <c:numCache>
                <c:formatCode>General</c:formatCode>
                <c:ptCount val="3"/>
                <c:pt idx="0" formatCode="0.0">
                  <c:v>499.03300000000002</c:v>
                </c:pt>
                <c:pt idx="1">
                  <c:v>752.18100000000004</c:v>
                </c:pt>
                <c:pt idx="2">
                  <c:v>900.66499999999996</c:v>
                </c:pt>
              </c:numCache>
            </c:numRef>
          </c:xVal>
          <c:yVal>
            <c:numRef>
              <c:f>'DATOS # '!$H$183:$H$185</c:f>
              <c:numCache>
                <c:formatCode>0.00</c:formatCode>
                <c:ptCount val="3"/>
                <c:pt idx="0" formatCode="General">
                  <c:v>1.706</c:v>
                </c:pt>
                <c:pt idx="1">
                  <c:v>1.087</c:v>
                </c:pt>
                <c:pt idx="2" formatCode="General">
                  <c:v>0.94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E6-46EB-8162-ED190852C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811136"/>
        <c:axId val="360817016"/>
      </c:scatterChart>
      <c:valAx>
        <c:axId val="360811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0817016"/>
        <c:crosses val="autoZero"/>
        <c:crossBetween val="midCat"/>
      </c:valAx>
      <c:valAx>
        <c:axId val="36081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0811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 '!$A$167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 '!$F$167:$F$169</c:f>
              <c:numCache>
                <c:formatCode>General</c:formatCode>
                <c:ptCount val="3"/>
                <c:pt idx="0">
                  <c:v>15.1</c:v>
                </c:pt>
                <c:pt idx="1">
                  <c:v>24.9</c:v>
                </c:pt>
                <c:pt idx="2" formatCode="0.0">
                  <c:v>34.700000000000003</c:v>
                </c:pt>
              </c:numCache>
            </c:numRef>
          </c:xVal>
          <c:yVal>
            <c:numRef>
              <c:f>'DATOS # '!$H$167:$H$169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51-4FE2-894D-582E32CAA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812704"/>
        <c:axId val="360814272"/>
      </c:scatterChart>
      <c:valAx>
        <c:axId val="36081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0814272"/>
        <c:crosses val="autoZero"/>
        <c:crossBetween val="midCat"/>
      </c:valAx>
      <c:valAx>
        <c:axId val="36081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0812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hr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 '!$A$170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 '!$F$170:$F$172</c:f>
              <c:numCache>
                <c:formatCode>General</c:formatCode>
                <c:ptCount val="3"/>
                <c:pt idx="0">
                  <c:v>33</c:v>
                </c:pt>
                <c:pt idx="1">
                  <c:v>50.9</c:v>
                </c:pt>
                <c:pt idx="2">
                  <c:v>79.099999999999994</c:v>
                </c:pt>
              </c:numCache>
            </c:numRef>
          </c:xVal>
          <c:yVal>
            <c:numRef>
              <c:f>'DATOS # '!$H$170:$H$172</c:f>
              <c:numCache>
                <c:formatCode>General</c:formatCode>
                <c:ptCount val="3"/>
                <c:pt idx="0">
                  <c:v>-3</c:v>
                </c:pt>
                <c:pt idx="1">
                  <c:v>-0.9</c:v>
                </c:pt>
                <c:pt idx="2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6D-463E-AD92-E48232505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811528"/>
        <c:axId val="360817800"/>
      </c:scatterChart>
      <c:valAx>
        <c:axId val="360811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0817800"/>
        <c:crosses val="autoZero"/>
        <c:crossBetween val="midCat"/>
      </c:valAx>
      <c:valAx>
        <c:axId val="36081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0811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# '!$A$173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# '!$F$173:$F$175</c:f>
              <c:numCache>
                <c:formatCode>General</c:formatCode>
                <c:ptCount val="3"/>
                <c:pt idx="0">
                  <c:v>398.61399999999998</c:v>
                </c:pt>
                <c:pt idx="1">
                  <c:v>752.91200000000003</c:v>
                </c:pt>
                <c:pt idx="2">
                  <c:v>801.26800000000003</c:v>
                </c:pt>
              </c:numCache>
            </c:numRef>
          </c:xVal>
          <c:yVal>
            <c:numRef>
              <c:f>'DATOS # '!$H$173:$H$175</c:f>
              <c:numCache>
                <c:formatCode>0.00</c:formatCode>
                <c:ptCount val="3"/>
                <c:pt idx="0" formatCode="General">
                  <c:v>1.64</c:v>
                </c:pt>
                <c:pt idx="1">
                  <c:v>0.877</c:v>
                </c:pt>
                <c:pt idx="2" formatCode="General">
                  <c:v>0.81200000000000006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8A-4F6F-BA01-7FD277F4A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818192"/>
        <c:axId val="360814664"/>
      </c:scatterChart>
      <c:valAx>
        <c:axId val="36081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0814664"/>
        <c:crosses val="autoZero"/>
        <c:crossBetween val="midCat"/>
      </c:valAx>
      <c:valAx>
        <c:axId val="36081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0818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microsoft.com/office/2007/relationships/hdphoto" Target="../media/hdphoto1.wdp"/><Relationship Id="rId5" Type="http://schemas.openxmlformats.org/officeDocument/2006/relationships/image" Target="../media/image3.png"/><Relationship Id="rId4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2.png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1220107</xdr:colOff>
      <xdr:row>138</xdr:row>
      <xdr:rowOff>48078</xdr:rowOff>
    </xdr:from>
    <xdr:to>
      <xdr:col>14</xdr:col>
      <xdr:colOff>448357</xdr:colOff>
      <xdr:row>141</xdr:row>
      <xdr:rowOff>345078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1039813</xdr:colOff>
      <xdr:row>138</xdr:row>
      <xdr:rowOff>88900</xdr:rowOff>
    </xdr:from>
    <xdr:to>
      <xdr:col>16</xdr:col>
      <xdr:colOff>77563</xdr:colOff>
      <xdr:row>142</xdr:row>
      <xdr:rowOff>4900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765175</xdr:colOff>
      <xdr:row>138</xdr:row>
      <xdr:rowOff>77788</xdr:rowOff>
    </xdr:from>
    <xdr:to>
      <xdr:col>17</xdr:col>
      <xdr:colOff>945925</xdr:colOff>
      <xdr:row>141</xdr:row>
      <xdr:rowOff>374788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181</xdr:row>
      <xdr:rowOff>0</xdr:rowOff>
    </xdr:from>
    <xdr:to>
      <xdr:col>14</xdr:col>
      <xdr:colOff>502218</xdr:colOff>
      <xdr:row>184</xdr:row>
      <xdr:rowOff>297000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F6A04B9F-99CC-4E00-861B-3987BE001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1210470</xdr:colOff>
      <xdr:row>181</xdr:row>
      <xdr:rowOff>31753</xdr:rowOff>
    </xdr:from>
    <xdr:to>
      <xdr:col>16</xdr:col>
      <xdr:colOff>248220</xdr:colOff>
      <xdr:row>184</xdr:row>
      <xdr:rowOff>328753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57728CCA-B5AC-46E8-9261-E679359C7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877094</xdr:colOff>
      <xdr:row>181</xdr:row>
      <xdr:rowOff>47626</xdr:rowOff>
    </xdr:from>
    <xdr:to>
      <xdr:col>17</xdr:col>
      <xdr:colOff>1057844</xdr:colOff>
      <xdr:row>184</xdr:row>
      <xdr:rowOff>344626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ACAFA0C2-1979-4A1C-94E6-C4C8E75E1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172</xdr:row>
      <xdr:rowOff>0</xdr:rowOff>
    </xdr:from>
    <xdr:to>
      <xdr:col>14</xdr:col>
      <xdr:colOff>502218</xdr:colOff>
      <xdr:row>175</xdr:row>
      <xdr:rowOff>297000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87641DEE-7B6B-476A-804A-11E664B2E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1202644</xdr:colOff>
      <xdr:row>172</xdr:row>
      <xdr:rowOff>56696</xdr:rowOff>
    </xdr:from>
    <xdr:to>
      <xdr:col>16</xdr:col>
      <xdr:colOff>240394</xdr:colOff>
      <xdr:row>175</xdr:row>
      <xdr:rowOff>353696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5C57134E-E028-43A2-830C-5CAD91117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932770</xdr:colOff>
      <xdr:row>172</xdr:row>
      <xdr:rowOff>138339</xdr:rowOff>
    </xdr:from>
    <xdr:to>
      <xdr:col>17</xdr:col>
      <xdr:colOff>1113520</xdr:colOff>
      <xdr:row>176</xdr:row>
      <xdr:rowOff>54339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2E4C2E1B-C211-442C-B80D-816E7C929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161</xdr:row>
      <xdr:rowOff>23811</xdr:rowOff>
    </xdr:from>
    <xdr:to>
      <xdr:col>14</xdr:col>
      <xdr:colOff>502218</xdr:colOff>
      <xdr:row>164</xdr:row>
      <xdr:rowOff>320811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B1FEDFBC-0A31-46EA-BA46-CF18D0C20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1206499</xdr:colOff>
      <xdr:row>161</xdr:row>
      <xdr:rowOff>0</xdr:rowOff>
    </xdr:from>
    <xdr:to>
      <xdr:col>16</xdr:col>
      <xdr:colOff>244249</xdr:colOff>
      <xdr:row>164</xdr:row>
      <xdr:rowOff>297000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1D6B0A9E-0388-4139-A4AC-716817E10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952499</xdr:colOff>
      <xdr:row>161</xdr:row>
      <xdr:rowOff>7937</xdr:rowOff>
    </xdr:from>
    <xdr:to>
      <xdr:col>17</xdr:col>
      <xdr:colOff>1133249</xdr:colOff>
      <xdr:row>164</xdr:row>
      <xdr:rowOff>304937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851DEA24-F561-4986-9109-EC378E36B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149</xdr:row>
      <xdr:rowOff>130174</xdr:rowOff>
    </xdr:from>
    <xdr:to>
      <xdr:col>14</xdr:col>
      <xdr:colOff>502218</xdr:colOff>
      <xdr:row>153</xdr:row>
      <xdr:rowOff>46174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2160EA85-B235-4C68-A438-0172CB07A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1076325</xdr:colOff>
      <xdr:row>149</xdr:row>
      <xdr:rowOff>96838</xdr:rowOff>
    </xdr:from>
    <xdr:to>
      <xdr:col>16</xdr:col>
      <xdr:colOff>114075</xdr:colOff>
      <xdr:row>153</xdr:row>
      <xdr:rowOff>12838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FD80DFE-FC00-488C-ABAF-05E3C6238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831849</xdr:colOff>
      <xdr:row>149</xdr:row>
      <xdr:rowOff>95250</xdr:rowOff>
    </xdr:from>
    <xdr:to>
      <xdr:col>17</xdr:col>
      <xdr:colOff>1012599</xdr:colOff>
      <xdr:row>153</xdr:row>
      <xdr:rowOff>11250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782CB92B-1F25-406A-A236-D5CB012C9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1</xdr:col>
      <xdr:colOff>158750</xdr:colOff>
      <xdr:row>0</xdr:row>
      <xdr:rowOff>254000</xdr:rowOff>
    </xdr:from>
    <xdr:to>
      <xdr:col>2</xdr:col>
      <xdr:colOff>1133300</xdr:colOff>
      <xdr:row>2</xdr:row>
      <xdr:rowOff>341472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C4B651-AD92-4AA5-AEA6-CF43BF281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206500" y="254000"/>
          <a:ext cx="2371550" cy="1103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228828</xdr:colOff>
      <xdr:row>72</xdr:row>
      <xdr:rowOff>25950</xdr:rowOff>
    </xdr:from>
    <xdr:ext cx="2025739" cy="353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2451328" y="30749367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𝑒𝑐𝑐</m:t>
                        </m:r>
                      </m:sub>
                    </m:sSub>
                    <m:r>
                      <a:rPr lang="es-ES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𝐼</m:t>
                            </m:r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 </m:t>
                            </m:r>
                            <m:sSub>
                              <m:sSub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</m:num>
                      <m:den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  <m:rad>
                              <m:radPr>
                                <m:degHide m:val="on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sub>
                        </m:sSub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00" b="1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02000000}"/>
                </a:ext>
              </a:extLst>
            </xdr:cNvPr>
            <xdr:cNvSpPr txBox="1"/>
          </xdr:nvSpPr>
          <xdr:spPr>
            <a:xfrm>
              <a:off x="2451328" y="30749367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𝐼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𝑒𝑐𝑐.𝑖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|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2𝐿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√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es-CO" sz="1000" b="1"/>
            </a:p>
          </xdr:txBody>
        </xdr:sp>
      </mc:Fallback>
    </mc:AlternateContent>
    <xdr:clientData/>
  </xdr:oneCellAnchor>
  <xdr:oneCellAnchor>
    <xdr:from>
      <xdr:col>10</xdr:col>
      <xdr:colOff>379344</xdr:colOff>
      <xdr:row>82</xdr:row>
      <xdr:rowOff>192983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714344" y="32054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  <xdr:oneCellAnchor>
    <xdr:from>
      <xdr:col>1</xdr:col>
      <xdr:colOff>256442</xdr:colOff>
      <xdr:row>59</xdr:row>
      <xdr:rowOff>117231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42267" y="25006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90625" y="221844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36370</xdr:colOff>
      <xdr:row>38</xdr:row>
      <xdr:rowOff>2596</xdr:rowOff>
    </xdr:from>
    <xdr:ext cx="796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</a:rPr>
                    <m:t> 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d>
                        <m:dPr>
                          <m:begChr m:val="|"/>
                          <m:endChr m:val="|"/>
                          <m:ctrlPr>
                            <a:rPr lang="es-CO" sz="12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∆</m:t>
                              </m:r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𝑰</m:t>
                              </m:r>
                            </m:e>
                            <m:sub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𝒆𝒄𝒄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</a:rPr>
                        <m:t>𝒎𝒂𝒙</m:t>
                      </m:r>
                    </m:sub>
                  </m:sSub>
                </m:oMath>
              </a14:m>
              <a:r>
                <a:rPr lang="es-CO" sz="1100" b="1" i="1"/>
                <a:t> </a:t>
              </a: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</a:rPr>
                <a:t> </a:t>
              </a:r>
              <a:r>
                <a:rPr lang="es-CO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|〖∆𝑰〗_𝒆𝒄𝒄 |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CO" sz="1400" b="1" i="0">
                  <a:latin typeface="Cambria Math" panose="02040503050406030204" pitchFamily="18" charset="0"/>
                </a:rPr>
                <a:t>𝒎𝒂𝒙</a:t>
              </a:r>
              <a:r>
                <a:rPr lang="es-CO" sz="1100" b="1" i="1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39929</xdr:colOff>
      <xdr:row>77</xdr:row>
      <xdr:rowOff>19048</xdr:rowOff>
    </xdr:from>
    <xdr:ext cx="3272656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2262429" y="32478131"/>
              <a:ext cx="3272656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</m:t>
                            </m:r>
                          </m:sub>
                          <m:sup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12</m:t>
                        </m:r>
                      </m:den>
                    </m:f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num>
                      <m:den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12</m:t>
                        </m:r>
                      </m:den>
                    </m:f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sSub>
                      <m:sSub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𝑒𝑐𝑐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2262429" y="32478131"/>
              <a:ext cx="3272656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(𝐼)=(𝑑_0^2)/12+(𝑑_1^2)/12+𝑠^2 (𝐼)+𝑢〖(𝛿𝐼〗_𝑒𝑐𝑐)𝐼^2</a:t>
              </a:r>
              <a:endParaRPr lang="es-CO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Fallback>
    </mc:AlternateContent>
    <xdr:clientData/>
  </xdr:oneCellAnchor>
  <xdr:oneCellAnchor>
    <xdr:from>
      <xdr:col>2</xdr:col>
      <xdr:colOff>471826</xdr:colOff>
      <xdr:row>76</xdr:row>
      <xdr:rowOff>47817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2694326" y="3207298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  <m:r>
                              <a:rPr lang="es-CO" sz="1100" b="0" i="1" baseline="-25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CO" sz="1100" b="0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CO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12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2694326" y="3207298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 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⌉=𝑑</a:t>
              </a:r>
              <a:r>
                <a:rPr lang="es-CO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420832</xdr:colOff>
      <xdr:row>73</xdr:row>
      <xdr:rowOff>95250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09000000}"/>
                </a:ext>
              </a:extLst>
            </xdr:cNvPr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𝑟𝑒𝑝)=𝑠(𝐼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653266</xdr:colOff>
      <xdr:row>82</xdr:row>
      <xdr:rowOff>91539</xdr:rowOff>
    </xdr:from>
    <xdr:ext cx="271462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2875766" y="34720206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2875766" y="34720206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〖(𝑚〗_𝑟𝑒𝑓)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𝛿𝑚_𝑐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𝛿𝑚_𝐵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𝛿𝑚_𝐷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490186</xdr:colOff>
      <xdr:row>79</xdr:row>
      <xdr:rowOff>65314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2712686" y="33392231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𝑘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2712686" y="33392231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  )=𝑈/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457351</xdr:colOff>
      <xdr:row>100</xdr:row>
      <xdr:rowOff>81643</xdr:rowOff>
    </xdr:from>
    <xdr:ext cx="4102554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1568601" y="43028810"/>
              <a:ext cx="4102554" cy="285750"/>
            </a:xfrm>
            <a:prstGeom prst="rect">
              <a:avLst/>
            </a:prstGeom>
            <a:solidFill>
              <a:srgbClr val="8DB4E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INVERSA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STUDEND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.2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C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(100</m:t>
                    </m:r>
                    <m:r>
                      <a:rPr lang="es-CO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%−95 %  ;</m:t>
                    </m:r>
                    <m:sSub>
                      <m:sSubPr>
                        <m:ctrlP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0C000000}"/>
                </a:ext>
              </a:extLst>
            </xdr:cNvPr>
            <xdr:cNvSpPr txBox="1"/>
          </xdr:nvSpPr>
          <xdr:spPr>
            <a:xfrm>
              <a:off x="1568601" y="43028810"/>
              <a:ext cx="4102554" cy="285750"/>
            </a:xfrm>
            <a:prstGeom prst="rect">
              <a:avLst/>
            </a:prstGeom>
            <a:solidFill>
              <a:srgbClr val="8DB4E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INVERSA.T STUDEND.2C(100%−95 %  ;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_(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𝑒𝑓𝑓(𝐸)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394429</xdr:colOff>
      <xdr:row>80</xdr:row>
      <xdr:rowOff>29249</xdr:rowOff>
    </xdr:from>
    <xdr:ext cx="2238374" cy="323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2616929" y="33790082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2616929" y="33790082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525778</xdr:colOff>
      <xdr:row>84</xdr:row>
      <xdr:rowOff>75142</xdr:rowOff>
    </xdr:from>
    <xdr:ext cx="1851239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2748278" y="35571642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𝑟𝑒𝑓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2748278" y="35571642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(𝐸)=𝑢^2 (𝐼)+ 𝑢^2 (𝑚_𝑟𝑒𝑓 )</a:t>
              </a: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804334</xdr:colOff>
      <xdr:row>98</xdr:row>
      <xdr:rowOff>31750</xdr:rowOff>
    </xdr:from>
    <xdr:ext cx="1309998" cy="548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3132667" y="42682583"/>
              <a:ext cx="1309998" cy="548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  <m:r>
                      <a:rPr lang="es-CO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f>
                      <m:f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  <m:sup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bSup>
                      </m:num>
                      <m:den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sub>
                                </m:sSub>
                              </m:sub>
                            </m:sSub>
                          </m:den>
                        </m:f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𝑟𝑒𝑓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𝑚</m:t>
                                        </m:r>
                                      </m:e>
                                      <m:sub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𝑟𝑒𝑓</m:t>
                                        </m:r>
                                      </m:sub>
                                    </m:sSub>
                                  </m:sub>
                                </m:sSub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3132667" y="42682583"/>
              <a:ext cx="1309998" cy="548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r>
                <a:rPr lang="es-CO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(𝑢_𝐸^4)/((𝑢_𝐼^4)/𝑣_(𝑖_𝐼 ) +(𝑢_(𝑚_𝑟𝑒𝑓)^4)/𝑣_(𝑖_(𝑚_𝑟𝑒𝑓 ) ) )</a:t>
              </a:r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502384</xdr:colOff>
      <xdr:row>95</xdr:row>
      <xdr:rowOff>616208</xdr:rowOff>
    </xdr:from>
    <xdr:ext cx="3444551" cy="6298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1672598" y="42072637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sSub>
                      <m:sSubPr>
                        <m:ctrlPr>
                          <a:rPr lang="es-CO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6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CO" sz="16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𝑟𝑒𝑓</m:t>
                                </m:r>
                              </m:sub>
                            </m:sSub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1672598" y="42072637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s-ES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𝑚〗_𝑟𝑒𝑓)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=〖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𝑚_𝑟𝑒𝑓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𝑚〗_𝐶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𝑚〗_𝐵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𝑚〗_𝐷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952889</xdr:colOff>
      <xdr:row>91</xdr:row>
      <xdr:rowOff>57150</xdr:rowOff>
    </xdr:from>
    <xdr:ext cx="2819400" cy="552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𝑐𝑐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𝑟𝑒𝑝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−1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𝑑𝑖𝑔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(𝐼)=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𝑢^4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𝑐𝑐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〗^4/(𝑛 −1)+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10</xdr:col>
      <xdr:colOff>66675</xdr:colOff>
      <xdr:row>106</xdr:row>
      <xdr:rowOff>352425</xdr:rowOff>
    </xdr:from>
    <xdr:ext cx="875242" cy="5154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 txBox="1"/>
          </xdr:nvSpPr>
          <xdr:spPr>
            <a:xfrm>
              <a:off x="11972925" y="46675675"/>
              <a:ext cx="875242" cy="5154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eqArr>
                          <m:eqArr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eqArrPr>
                          <m:e>
                            <m:sSup>
                              <m:sSup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  <m:r>
                              <m:rPr>
                                <m:nor/>
                              </m:rPr>
                              <a:rPr lang="es-CO" sz="105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) </m:t>
                            </m:r>
                          </m:e>
                          <m:e>
                            <m:r>
                              <m:rPr>
                                <m:nor/>
                              </m:rPr>
                              <a:rPr lang="es-CO" sz="105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+ </m:t>
                            </m:r>
                            <m:r>
                              <m:rPr>
                                <m:nor/>
                              </m:rPr>
                              <a:rPr lang="es-CO" sz="105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u</m:t>
                            </m:r>
                            <m:r>
                              <m:rPr>
                                <m:nor/>
                              </m:rPr>
                              <a:rPr lang="es-CO" sz="105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2(</m:t>
                            </m:r>
                            <m:r>
                              <m:rPr>
                                <m:nor/>
                              </m:rPr>
                              <a:rPr lang="es-CO" sz="105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Eappr</m:t>
                            </m:r>
                            <m:r>
                              <m:rPr>
                                <m:nor/>
                              </m:rPr>
                              <a:rPr lang="es-CO" sz="105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)</m:t>
                            </m:r>
                            <m:r>
                              <m:rPr>
                                <m:nor/>
                              </m:rPr>
                              <a:rPr lang="es-CO" sz="105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es-CO" sz="1050">
                                <a:effectLst/>
                              </a:rPr>
                              <m:t> </m:t>
                            </m:r>
                          </m:e>
                        </m:eqArr>
                      </m:e>
                    </m:rad>
                  </m:oMath>
                </m:oMathPara>
              </a14:m>
              <a:endParaRPr lang="es-CO" sz="1050"/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 txBox="1"/>
          </xdr:nvSpPr>
          <xdr:spPr>
            <a:xfrm>
              <a:off x="11972925" y="46675675"/>
              <a:ext cx="875242" cy="5154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latin typeface="Cambria Math" panose="02040503050406030204" pitchFamily="18" charset="0"/>
                </a:rPr>
                <a:t>√(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█(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(𝑅(𝑑 𝑦 𝑠)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@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"+ u2(Eappr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1050" i="0">
                  <a:effectLst/>
                </a:rPr>
                <a:t> </a:t>
              </a:r>
              <a:r>
                <a:rPr lang="es-CO" sz="1050" i="0">
                  <a:effectLst/>
                  <a:latin typeface="Cambria Math" panose="02040503050406030204" pitchFamily="18" charset="0"/>
                </a:rPr>
                <a:t>" ))</a:t>
              </a:r>
              <a:endParaRPr lang="es-CO" sz="1050"/>
            </a:p>
          </xdr:txBody>
        </xdr:sp>
      </mc:Fallback>
    </mc:AlternateContent>
    <xdr:clientData/>
  </xdr:oneCellAnchor>
  <xdr:oneCellAnchor>
    <xdr:from>
      <xdr:col>4</xdr:col>
      <xdr:colOff>266485</xdr:colOff>
      <xdr:row>106</xdr:row>
      <xdr:rowOff>396585</xdr:rowOff>
    </xdr:from>
    <xdr:ext cx="864609" cy="3480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 txBox="1"/>
          </xdr:nvSpPr>
          <xdr:spPr>
            <a:xfrm>
              <a:off x="4743235" y="45414116"/>
              <a:ext cx="864609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1" name="CuadroTexto 2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5000000}"/>
                </a:ext>
              </a:extLst>
            </xdr:cNvPr>
            <xdr:cNvSpPr txBox="1"/>
          </xdr:nvSpPr>
          <xdr:spPr>
            <a:xfrm>
              <a:off x="4743235" y="45414116"/>
              <a:ext cx="864609" cy="348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(𝐸))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8</xdr:col>
      <xdr:colOff>365413</xdr:colOff>
      <xdr:row>53</xdr:row>
      <xdr:rowOff>127288</xdr:rowOff>
    </xdr:from>
    <xdr:ext cx="20960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546388</xdr:colOff>
      <xdr:row>53</xdr:row>
      <xdr:rowOff>36367</xdr:rowOff>
    </xdr:from>
    <xdr:ext cx="15626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/>
          </xdr:nvSpPr>
          <xdr:spPr>
            <a:xfrm>
              <a:off x="11938288" y="22705867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/>
                <a:t> g</a:t>
              </a:r>
            </a:p>
          </xdr:txBody>
        </xdr:sp>
      </mc:Choice>
      <mc:Fallback xmlns="">
        <xdr:sp macro="" textlink="">
          <xdr:nvSpPr>
            <xdr:cNvPr id="24" name="CuadroTexto 2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8000000}"/>
                </a:ext>
              </a:extLst>
            </xdr:cNvPr>
            <xdr:cNvSpPr txBox="1"/>
          </xdr:nvSpPr>
          <xdr:spPr>
            <a:xfrm>
              <a:off x="11938288" y="22705867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/>
                <a:t> g</a:t>
              </a:r>
            </a:p>
          </xdr:txBody>
        </xdr:sp>
      </mc:Fallback>
    </mc:AlternateContent>
    <xdr:clientData/>
  </xdr:oneCellAnchor>
  <xdr:oneCellAnchor>
    <xdr:from>
      <xdr:col>11</xdr:col>
      <xdr:colOff>521277</xdr:colOff>
      <xdr:row>53</xdr:row>
      <xdr:rowOff>27708</xdr:rowOff>
    </xdr:from>
    <xdr:ext cx="32784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/>
          </xdr:nvSpPr>
          <xdr:spPr>
            <a:xfrm>
              <a:off x="13027602" y="22697208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9000000}"/>
                </a:ext>
              </a:extLst>
            </xdr:cNvPr>
            <xdr:cNvSpPr txBox="1"/>
          </xdr:nvSpPr>
          <xdr:spPr>
            <a:xfrm>
              <a:off x="13027602" y="22697208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254045</xdr:colOff>
      <xdr:row>107</xdr:row>
      <xdr:rowOff>96582</xdr:rowOff>
    </xdr:from>
    <xdr:ext cx="441852" cy="184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pPr>
                    <m:e>
                      <m:acc>
                        <m:accPr>
                          <m:chr m:val="̅"/>
                          <m:ctrlP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e>
                    <m:sup>
                      <m: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  <m:t>2</m:t>
                      </m:r>
                    </m:sup>
                  </m:sSup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∗</m:t>
                  </m:r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𝑝</m:t>
                  </m:r>
                </m:oMath>
              </a14:m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A000000}"/>
                </a:ext>
              </a:extLst>
            </xdr:cNvPr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0" lang="es-CO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𝐼 ̅</a:t>
              </a:r>
              <a:r>
                <a:rPr kumimoji="0" lang="es-CO" sz="12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CO" sz="12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2∗𝑝</a:t>
              </a:r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1</xdr:col>
      <xdr:colOff>162078</xdr:colOff>
      <xdr:row>115</xdr:row>
      <xdr:rowOff>169069</xdr:rowOff>
    </xdr:from>
    <xdr:ext cx="789584" cy="1434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 txBox="1"/>
          </xdr:nvSpPr>
          <xdr:spPr>
            <a:xfrm>
              <a:off x="1276503" y="49546669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</m:oMath>
              </a14:m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/ </m:t>
                  </m:r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  <m:sSup>
                    <m:sSupPr>
                      <m:ctrlPr>
                        <a:rPr lang="el-GR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𝑝𝐼</m:t>
                      </m:r>
                    </m:e>
                    <m:sup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200-00001B000000}"/>
                </a:ext>
              </a:extLst>
            </xdr:cNvPr>
            <xdr:cNvSpPr txBox="1"/>
          </xdr:nvSpPr>
          <xdr:spPr>
            <a:xfrm>
              <a:off x="1276503" y="49546669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</a:t>
              </a:r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/ 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𝛴〖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1</xdr:col>
      <xdr:colOff>624477</xdr:colOff>
      <xdr:row>117</xdr:row>
      <xdr:rowOff>129886</xdr:rowOff>
    </xdr:from>
    <xdr:ext cx="441614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p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endParaRPr lang="es-CO" sz="1100" b="0" i="1"/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C000000}"/>
                </a:ext>
              </a:extLst>
            </xdr:cNvPr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𝑝𝐼^2</a:t>
              </a:r>
              <a:endParaRPr lang="es-CO" sz="1100" b="0" i="1"/>
            </a:p>
          </xdr:txBody>
        </xdr:sp>
      </mc:Fallback>
    </mc:AlternateContent>
    <xdr:clientData/>
  </xdr:oneCellAnchor>
  <xdr:oneCellAnchor>
    <xdr:from>
      <xdr:col>1</xdr:col>
      <xdr:colOff>219725</xdr:colOff>
      <xdr:row>120</xdr:row>
      <xdr:rowOff>73602</xdr:rowOff>
    </xdr:from>
    <xdr:ext cx="808875" cy="184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 txBox="1"/>
          </xdr:nvSpPr>
          <xdr:spPr>
            <a:xfrm>
              <a:off x="1338913" y="51282383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  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m</m:t>
                        </m:r>
                        <m:r>
                          <a:rPr lang="es-CO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xima</m:t>
                        </m:r>
                        <m:r>
                          <m:rPr>
                            <m:nor/>
                          </m:rPr>
                          <a:rPr lang="es-CO" sz="1100" b="0" i="1" baseline="0">
                            <a:solidFill>
                              <a:schemeClr val="tx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b="0" i="1">
                            <a:solidFill>
                              <a:schemeClr val="tx1"/>
                            </a:solidFill>
                            <a:effectLst/>
                            <a:latin typeface="Times New Roman" panose="02020603050405020304" pitchFamily="18" charset="0"/>
                            <a:cs typeface="Times New Roman" panose="02020603050405020304" pitchFamily="18" charset="0"/>
                          </a:rPr>
                          <m:t> 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9" name="CuadroTexto 2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D000000}"/>
                </a:ext>
              </a:extLst>
            </xdr:cNvPr>
            <xdr:cNvSpPr txBox="1"/>
          </xdr:nvSpPr>
          <xdr:spPr>
            <a:xfrm>
              <a:off x="1338913" y="51282383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〖"s  </a:t>
              </a:r>
              <a:r>
                <a:rPr lang="es-CO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</a:rPr>
                <a:t>" </a:t>
              </a:r>
              <a:r>
                <a:rPr lang="es-CO" sz="11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Times New Roman" panose="02020603050405020304" pitchFamily="18" charset="0"/>
                </a:rPr>
                <a:t>máxima"</a:t>
              </a:r>
              <a:r>
                <a:rPr lang="es-CO" sz="1100" b="0" i="0" baseline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 </a:t>
              </a:r>
              <a:r>
                <a:rPr lang="es-CO" b="0" i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"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〗^</a:t>
              </a:r>
              <a:r>
                <a:rPr lang="es-CO" sz="11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2</a:t>
              </a:r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119816</xdr:colOff>
      <xdr:row>134</xdr:row>
      <xdr:rowOff>172452</xdr:rowOff>
    </xdr:from>
    <xdr:ext cx="695324" cy="190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 ∗ </m:t>
                    </m:r>
                    <m:sSup>
                      <m:sSup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u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5" name="CuadroTexto 3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23000000}"/>
                </a:ext>
              </a:extLst>
            </xdr:cNvPr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𝑎_1  ∗ "u" ^2 (𝑅)</a:t>
              </a:r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359019</xdr:colOff>
      <xdr:row>53</xdr:row>
      <xdr:rowOff>140678</xdr:rowOff>
    </xdr:from>
    <xdr:ext cx="35848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554005</xdr:colOff>
      <xdr:row>87</xdr:row>
      <xdr:rowOff>82614</xdr:rowOff>
    </xdr:from>
    <xdr:ext cx="595611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𝑒𝑐𝑐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564114</xdr:colOff>
      <xdr:row>90</xdr:row>
      <xdr:rowOff>116827</xdr:rowOff>
    </xdr:from>
    <xdr:ext cx="611065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id="{00000000-0008-0000-0100-000026000000}"/>
                </a:ext>
              </a:extLst>
            </xdr:cNvPr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𝑑𝑖𝑔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id="{00000000-0008-0000-0100-000026000000}"/>
                </a:ext>
              </a:extLst>
            </xdr:cNvPr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795049</xdr:colOff>
      <xdr:row>93</xdr:row>
      <xdr:rowOff>97194</xdr:rowOff>
    </xdr:from>
    <xdr:ext cx="591764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100-000027000000}"/>
                </a:ext>
              </a:extLst>
            </xdr:cNvPr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100-000027000000}"/>
                </a:ext>
              </a:extLst>
            </xdr:cNvPr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3</xdr:col>
      <xdr:colOff>814484</xdr:colOff>
      <xdr:row>94</xdr:row>
      <xdr:rowOff>116632</xdr:rowOff>
    </xdr:from>
    <xdr:ext cx="592533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781433</xdr:colOff>
      <xdr:row>95</xdr:row>
      <xdr:rowOff>116632</xdr:rowOff>
    </xdr:from>
    <xdr:ext cx="596189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523875</xdr:colOff>
      <xdr:row>88</xdr:row>
      <xdr:rowOff>95250</xdr:rowOff>
    </xdr:from>
    <xdr:ext cx="126733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d>
                      <m:d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e>
                    </m:d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−1   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(𝑟𝑒𝑝)=𝑛 −1   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1107282</xdr:colOff>
      <xdr:row>125</xdr:row>
      <xdr:rowOff>114861</xdr:rowOff>
    </xdr:from>
    <xdr:to>
      <xdr:col>10</xdr:col>
      <xdr:colOff>214312</xdr:colOff>
      <xdr:row>133</xdr:row>
      <xdr:rowOff>440531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462643</xdr:colOff>
      <xdr:row>53</xdr:row>
      <xdr:rowOff>136073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 baseline="0">
                      <a:latin typeface="Cambria Math" panose="02040503050406030204" pitchFamily="18" charset="0"/>
                    </a:rPr>
                    <m:t> 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 </a:t>
              </a:r>
              <a:r>
                <a:rPr lang="es-CO" sz="1100" b="0" i="0">
                  <a:latin typeface="Cambria Math" panose="02040503050406030204" pitchFamily="18" charset="0"/>
                </a:rPr>
                <a:t>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462642</xdr:colOff>
      <xdr:row>53</xdr:row>
      <xdr:rowOff>122464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𝑚𝑔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</a:t>
              </a:r>
              <a:r>
                <a:rPr lang="es-CO" sz="1100" b="0" i="0">
                  <a:latin typeface="Cambria Math" panose="02040503050406030204" pitchFamily="18" charset="0"/>
                </a:rPr>
                <a:t>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15</xdr:col>
      <xdr:colOff>628650</xdr:colOff>
      <xdr:row>97</xdr:row>
      <xdr:rowOff>0</xdr:rowOff>
    </xdr:from>
    <xdr:ext cx="65" cy="172227"/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15840075" y="4829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408326</xdr:colOff>
      <xdr:row>75</xdr:row>
      <xdr:rowOff>26651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SpPr txBox="1"/>
          </xdr:nvSpPr>
          <xdr:spPr>
            <a:xfrm>
              <a:off x="2630826" y="31617901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CO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12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6" name="CuadroTexto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SpPr txBox="1"/>
          </xdr:nvSpPr>
          <xdr:spPr>
            <a:xfrm>
              <a:off x="2630826" y="31617901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 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⌉=𝑑/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13</xdr:col>
      <xdr:colOff>35719</xdr:colOff>
      <xdr:row>85</xdr:row>
      <xdr:rowOff>47625</xdr:rowOff>
    </xdr:from>
    <xdr:ext cx="2024062" cy="3690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SpPr txBox="1"/>
          </xdr:nvSpPr>
          <xdr:spPr>
            <a:xfrm>
              <a:off x="14751844" y="37528500"/>
              <a:ext cx="2024062" cy="369094"/>
            </a:xfrm>
            <a:prstGeom prst="rect">
              <a:avLst/>
            </a:prstGeom>
            <a:solidFill>
              <a:srgbClr val="8DB4E2"/>
            </a:solidFill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𝑼</m:t>
                  </m:r>
                  <m:r>
                    <a:rPr lang="es-CO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𝑬</m:t>
                  </m:r>
                  <m:r>
                    <a:rPr lang="es-CO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200" b="1" i="1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14:m>
                <m:oMath xmlns:m="http://schemas.openxmlformats.org/officeDocument/2006/math">
                  <m:r>
                    <a:rPr lang="es-ES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𝒖</m:t>
                  </m:r>
                  <m:r>
                    <a:rPr lang="es-ES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𝑬</m:t>
                  </m:r>
                  <m:r>
                    <a:rPr lang="es-ES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2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𝒌</m:t>
                  </m:r>
                </m:oMath>
              </a14:m>
              <a:endParaRPr lang="es-CO" sz="1200" b="1" i="1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57" name="CuadroTexto 56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SpPr txBox="1"/>
          </xdr:nvSpPr>
          <xdr:spPr>
            <a:xfrm>
              <a:off x="14751844" y="37528500"/>
              <a:ext cx="2024062" cy="369094"/>
            </a:xfrm>
            <a:prstGeom prst="rect">
              <a:avLst/>
            </a:prstGeom>
            <a:solidFill>
              <a:srgbClr val="8DB4E2"/>
            </a:solidFill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𝑼</a:t>
              </a:r>
              <a:r>
                <a:rPr lang="es-CO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(𝑬)</a:t>
              </a:r>
              <a:r>
                <a:rPr lang="es-CO" sz="1200" b="1" i="1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ES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𝒖(𝑬)∗𝒌</a:t>
              </a:r>
              <a:endParaRPr lang="es-CO" sz="1200" b="1" i="1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10</xdr:col>
      <xdr:colOff>690563</xdr:colOff>
      <xdr:row>117</xdr:row>
      <xdr:rowOff>59531</xdr:rowOff>
    </xdr:from>
    <xdr:ext cx="1916206" cy="313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SpPr txBox="1"/>
          </xdr:nvSpPr>
          <xdr:spPr>
            <a:xfrm>
              <a:off x="8763001" y="49946719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14:m>
                <m:oMath xmlns:m="http://schemas.openxmlformats.org/officeDocument/2006/math">
                  <m:r>
                    <a:rPr lang="es-CO" sz="160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−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𝜐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|≤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𝛽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ad>
                    <m:radPr>
                      <m:degHide m:val="on"/>
                      <m:ctrlP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𝜐</m:t>
                      </m:r>
                    </m:e>
                  </m:rad>
                </m:oMath>
              </a14:m>
              <a:endParaRPr lang="es-CO" sz="16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21000000}"/>
                </a:ext>
              </a:extLst>
            </xdr:cNvPr>
            <xdr:cNvSpPr txBox="1"/>
          </xdr:nvSpPr>
          <xdr:spPr>
            <a:xfrm>
              <a:off x="8763001" y="49946719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:r>
                <a:rPr lang="es-CO" sz="160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−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 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𝜐 |≤ 𝛽 √2𝜐</a:t>
              </a:r>
              <a:endParaRPr lang="es-CO" sz="16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7</xdr:col>
      <xdr:colOff>411953</xdr:colOff>
      <xdr:row>122</xdr:row>
      <xdr:rowOff>72627</xdr:rowOff>
    </xdr:from>
    <xdr:ext cx="1862140" cy="3006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8484391" y="52126752"/>
              <a:ext cx="1862140" cy="3006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20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𝑦</m:t>
                    </m:r>
                    <m:r>
                      <a:rPr lang="es-CO" sz="20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20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𝑏</m:t>
                    </m:r>
                    <m:r>
                      <a:rPr lang="es-CO" sz="20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+</m:t>
                    </m:r>
                    <m:r>
                      <a:rPr lang="es-CO" sz="20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𝑚</m:t>
                    </m:r>
                    <m:r>
                      <a:rPr lang="es-CO" sz="20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20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𝑥</m:t>
                    </m:r>
                  </m:oMath>
                </m:oMathPara>
              </a14:m>
              <a:endParaRPr lang="es-CO" sz="2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8484391" y="52126752"/>
              <a:ext cx="1862140" cy="3006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20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𝑦=𝑏+𝑚 𝑥</a:t>
              </a:r>
              <a:endParaRPr lang="es-CO" sz="2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179124</xdr:colOff>
      <xdr:row>81</xdr:row>
      <xdr:rowOff>41541</xdr:rowOff>
    </xdr:from>
    <xdr:ext cx="1933574" cy="3738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 txBox="1"/>
          </xdr:nvSpPr>
          <xdr:spPr>
            <a:xfrm>
              <a:off x="2401624" y="34236291"/>
              <a:ext cx="1933574" cy="3738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𝑢</m:t>
                    </m:r>
                    <m:d>
                      <m:d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𝛿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𝑚</m:t>
                            </m:r>
                          </m:e>
                          <m:sub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sub>
                        </m:sSub>
                      </m:e>
                    </m:d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type m:val="skw"/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𝐷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100" b="0"/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 txBox="1"/>
          </xdr:nvSpPr>
          <xdr:spPr>
            <a:xfrm>
              <a:off x="2401624" y="34236291"/>
              <a:ext cx="1933574" cy="3738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𝑢(〖</a:t>
              </a:r>
              <a:r>
                <a:rPr lang="es-MX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𝛿𝑚〗_</a:t>
              </a:r>
              <a:r>
                <a:rPr lang="es-MX" sz="1100" b="0" i="0">
                  <a:latin typeface="Cambria Math" panose="02040503050406030204" pitchFamily="18" charset="0"/>
                </a:rPr>
                <a:t>𝐷 )=𝐷⁄√3</a:t>
              </a:r>
              <a:endParaRPr lang="es-CO" sz="1100" b="0"/>
            </a:p>
          </xdr:txBody>
        </xdr:sp>
      </mc:Fallback>
    </mc:AlternateContent>
    <xdr:clientData/>
  </xdr:oneCellAnchor>
  <xdr:twoCellAnchor>
    <xdr:from>
      <xdr:col>13</xdr:col>
      <xdr:colOff>80511</xdr:colOff>
      <xdr:row>71</xdr:row>
      <xdr:rowOff>202407</xdr:rowOff>
    </xdr:from>
    <xdr:to>
      <xdr:col>16</xdr:col>
      <xdr:colOff>842510</xdr:colOff>
      <xdr:row>75</xdr:row>
      <xdr:rowOff>331105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428626</xdr:colOff>
      <xdr:row>0</xdr:row>
      <xdr:rowOff>95250</xdr:rowOff>
    </xdr:from>
    <xdr:to>
      <xdr:col>2</xdr:col>
      <xdr:colOff>494394</xdr:colOff>
      <xdr:row>2</xdr:row>
      <xdr:rowOff>322693</xdr:rowOff>
    </xdr:to>
    <xdr:pic>
      <xdr:nvPicPr>
        <xdr:cNvPr id="50" name="29 Imagen">
          <a:extLst>
            <a:ext uri="{FF2B5EF4-FFF2-40B4-BE49-F238E27FC236}">
              <a16:creationId xmlns:a16="http://schemas.microsoft.com/office/drawing/2014/main" id="{3AD7F9E1-0A28-4DF5-8790-A5AB87056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8626" y="95250"/>
          <a:ext cx="2372179" cy="1108506"/>
        </a:xfrm>
        <a:prstGeom prst="rect">
          <a:avLst/>
        </a:prstGeom>
      </xdr:spPr>
    </xdr:pic>
    <xdr:clientData/>
  </xdr:twoCellAnchor>
  <xdr:oneCellAnchor>
    <xdr:from>
      <xdr:col>9</xdr:col>
      <xdr:colOff>946716</xdr:colOff>
      <xdr:row>145</xdr:row>
      <xdr:rowOff>679674</xdr:rowOff>
    </xdr:from>
    <xdr:ext cx="5486059" cy="9093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>
              <a:extLst>
                <a:ext uri="{FF2B5EF4-FFF2-40B4-BE49-F238E27FC236}">
                  <a16:creationId xmlns:a16="http://schemas.microsoft.com/office/drawing/2014/main" id="{00000000-0008-0000-0100-000044000000}"/>
                </a:ext>
              </a:extLst>
            </xdr:cNvPr>
            <xdr:cNvSpPr txBox="1"/>
          </xdr:nvSpPr>
          <xdr:spPr>
            <a:xfrm>
              <a:off x="12033816" y="66030699"/>
              <a:ext cx="5486059" cy="909352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20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s-CO" sz="20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  <m:r>
                      <a:rPr lang="es-CO" sz="20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s-CO" sz="20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s-CO" sz="20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CO" sz="20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es-CO" sz="20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den>
                        </m:f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s-CO" sz="20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sSubSup>
                              <m:sSubSupPr>
                                <m:ctrlPr>
                                  <a:rPr lang="es-CO" sz="200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s-CO" sz="2000" b="0" i="1">
                                    <a:latin typeface="Cambria Math" panose="02040503050406030204" pitchFamily="18" charset="0"/>
                                  </a:rPr>
                                  <m:t>𝑆</m:t>
                                </m:r>
                              </m:e>
                              <m:sub>
                                <m:r>
                                  <a:rPr lang="es-CO" sz="20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  <m:sup>
                                <m:r>
                                  <a:rPr lang="es-CO" sz="20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bSup>
                          </m:e>
                        </m:nary>
                      </m:e>
                    </m:rad>
                  </m:oMath>
                </m:oMathPara>
              </a14:m>
              <a:endParaRPr lang="es-CO" sz="2400"/>
            </a:p>
          </xdr:txBody>
        </xdr:sp>
      </mc:Choice>
      <mc:Fallback xmlns="">
        <xdr:sp macro="" textlink="">
          <xdr:nvSpPr>
            <xdr:cNvPr id="54" name="CuadroTexto 53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100-000044000000}"/>
                </a:ext>
              </a:extLst>
            </xdr:cNvPr>
            <xdr:cNvSpPr txBox="1"/>
          </xdr:nvSpPr>
          <xdr:spPr>
            <a:xfrm>
              <a:off x="12033816" y="66030699"/>
              <a:ext cx="5486059" cy="909352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2000" b="0" i="0">
                  <a:latin typeface="Cambria Math" panose="02040503050406030204" pitchFamily="18" charset="0"/>
                </a:rPr>
                <a:t>𝑆_𝑝=</a:t>
              </a:r>
              <a:r>
                <a:rPr lang="es-CO" sz="2000" i="0">
                  <a:latin typeface="Cambria Math" panose="02040503050406030204" pitchFamily="18" charset="0"/>
                </a:rPr>
                <a:t>√(</a:t>
              </a:r>
              <a:r>
                <a:rPr lang="es-CO" sz="2000" b="0" i="0">
                  <a:latin typeface="Cambria Math" panose="02040503050406030204" pitchFamily="18" charset="0"/>
                </a:rPr>
                <a:t>1/𝑚 ∑▒𝑆_𝑖^2 )</a:t>
              </a:r>
              <a:endParaRPr lang="es-CO" sz="2400"/>
            </a:p>
          </xdr:txBody>
        </xdr:sp>
      </mc:Fallback>
    </mc:AlternateContent>
    <xdr:clientData/>
  </xdr:oneCellAnchor>
  <xdr:oneCellAnchor>
    <xdr:from>
      <xdr:col>10</xdr:col>
      <xdr:colOff>495300</xdr:colOff>
      <xdr:row>150</xdr:row>
      <xdr:rowOff>60722</xdr:rowOff>
    </xdr:from>
    <xdr:ext cx="168123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>
              <a:extLst>
                <a:ext uri="{FF2B5EF4-FFF2-40B4-BE49-F238E27FC236}">
                  <a16:creationId xmlns:a16="http://schemas.microsoft.com/office/drawing/2014/main" id="{00000000-0008-0000-0100-000045000000}"/>
                </a:ext>
              </a:extLst>
            </xdr:cNvPr>
            <xdr:cNvSpPr txBox="1"/>
          </xdr:nvSpPr>
          <xdr:spPr>
            <a:xfrm>
              <a:off x="12696825" y="68812172"/>
              <a:ext cx="168123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s-CO" sz="1100" b="1" i="1" baseline="30000">
                            <a:latin typeface="Cambria Math" panose="02040503050406030204" pitchFamily="18" charset="0"/>
                          </a:rPr>
                          <m:t>𝟐</m:t>
                        </m:r>
                      </m:num>
                      <m:den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den>
                    </m:f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9" name="CuadroTexto 58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100-000045000000}"/>
                </a:ext>
              </a:extLst>
            </xdr:cNvPr>
            <xdr:cNvSpPr txBox="1"/>
          </xdr:nvSpPr>
          <xdr:spPr>
            <a:xfrm>
              <a:off x="12696825" y="68812172"/>
              <a:ext cx="168123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𝑺</a:t>
              </a:r>
              <a:r>
                <a:rPr lang="es-CO" sz="1100" b="1" i="0" baseline="30000">
                  <a:latin typeface="Cambria Math" panose="02040503050406030204" pitchFamily="18" charset="0"/>
                </a:rPr>
                <a:t>𝟐/</a:t>
              </a:r>
              <a:r>
                <a:rPr lang="es-CO" sz="1100" b="1" i="0">
                  <a:latin typeface="Cambria Math" panose="02040503050406030204" pitchFamily="18" charset="0"/>
                </a:rPr>
                <a:t>𝒎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10</xdr:col>
      <xdr:colOff>1023937</xdr:colOff>
      <xdr:row>150</xdr:row>
      <xdr:rowOff>119061</xdr:rowOff>
    </xdr:from>
    <xdr:ext cx="1273969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>
              <a:extLst>
                <a:ext uri="{FF2B5EF4-FFF2-40B4-BE49-F238E27FC236}">
                  <a16:creationId xmlns:a16="http://schemas.microsoft.com/office/drawing/2014/main" id="{00000000-0008-0000-0100-000046000000}"/>
                </a:ext>
              </a:extLst>
            </xdr:cNvPr>
            <xdr:cNvSpPr txBox="1"/>
          </xdr:nvSpPr>
          <xdr:spPr>
            <a:xfrm>
              <a:off x="13225462" y="68870511"/>
              <a:ext cx="1273969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s-CO" sz="1100" b="1" i="1" baseline="30000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</m:rad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60" name="CuadroTexto 59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100-000046000000}"/>
                </a:ext>
              </a:extLst>
            </xdr:cNvPr>
            <xdr:cNvSpPr txBox="1"/>
          </xdr:nvSpPr>
          <xdr:spPr>
            <a:xfrm>
              <a:off x="13225462" y="68870511"/>
              <a:ext cx="1273969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√(𝑺</a:t>
              </a:r>
              <a:r>
                <a:rPr lang="es-CO" sz="1100" b="1" i="0" baseline="30000">
                  <a:latin typeface="Cambria Math" panose="02040503050406030204" pitchFamily="18" charset="0"/>
                </a:rPr>
                <a:t>𝟐</a:t>
              </a:r>
              <a:r>
                <a:rPr lang="es-CO" sz="1100" b="1" i="0">
                  <a:latin typeface="Cambria Math" panose="02040503050406030204" pitchFamily="18" charset="0"/>
                </a:rPr>
                <a:t>/𝒎)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8</xdr:col>
      <xdr:colOff>72570</xdr:colOff>
      <xdr:row>152</xdr:row>
      <xdr:rowOff>190502</xdr:rowOff>
    </xdr:from>
    <xdr:ext cx="1124857" cy="9048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:cNvPr>
            <xdr:cNvSpPr txBox="1"/>
          </xdr:nvSpPr>
          <xdr:spPr>
            <a:xfrm>
              <a:off x="9892845" y="69818252"/>
              <a:ext cx="1124857" cy="904874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2400"/>
                <a:t>F = </a:t>
              </a:r>
              <a14:m>
                <m:oMath xmlns:m="http://schemas.openxmlformats.org/officeDocument/2006/math">
                  <m:f>
                    <m:fPr>
                      <m:ctrlPr>
                        <a:rPr lang="es-CO" sz="2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Sup>
                        <m:sSubSupPr>
                          <m:ctrlPr>
                            <a:rPr lang="es-CO" sz="2400" i="1">
                              <a:latin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es-CO" sz="2400" b="0" i="1">
                              <a:latin typeface="Cambria Math" panose="02040503050406030204" pitchFamily="18" charset="0"/>
                            </a:rPr>
                            <m:t>𝑆</m:t>
                          </m:r>
                        </m:e>
                        <m:sub>
                          <m:r>
                            <a:rPr lang="es-CO" sz="2400" b="0" i="1">
                              <a:latin typeface="Cambria Math" panose="02040503050406030204" pitchFamily="18" charset="0"/>
                            </a:rPr>
                            <m:t>𝑛𝑒𝑤</m:t>
                          </m:r>
                        </m:sub>
                        <m:sup>
                          <m:r>
                            <a:rPr lang="es-CO" sz="24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p>
                      </m:sSubSup>
                    </m:num>
                    <m:den>
                      <m:sSubSup>
                        <m:sSubSupPr>
                          <m:ctrlPr>
                            <a:rPr lang="es-CO" sz="2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SupPr>
                        <m:e>
                          <m:r>
                            <a:rPr lang="es-CO" sz="2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𝑆</m:t>
                          </m:r>
                        </m:e>
                        <m:sub>
                          <m:r>
                            <a:rPr lang="es-CO" sz="2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𝑝</m:t>
                          </m:r>
                        </m:sub>
                        <m:sup>
                          <m:r>
                            <a:rPr lang="es-CO" sz="2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bSup>
                    </m:den>
                  </m:f>
                </m:oMath>
              </a14:m>
              <a:endParaRPr lang="es-CO" sz="1200"/>
            </a:p>
          </xdr:txBody>
        </xdr:sp>
      </mc:Choice>
      <mc:Fallback xmlns="">
        <xdr:sp macro="" textlink="">
          <xdr:nvSpPr>
            <xdr:cNvPr id="61" name="CuadroTexto 60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100-000047000000}"/>
                </a:ext>
              </a:extLst>
            </xdr:cNvPr>
            <xdr:cNvSpPr txBox="1"/>
          </xdr:nvSpPr>
          <xdr:spPr>
            <a:xfrm>
              <a:off x="9892845" y="69818252"/>
              <a:ext cx="1124857" cy="904874"/>
            </a:xfrm>
            <a:prstGeom prst="rect">
              <a:avLst/>
            </a:prstGeom>
            <a:ln>
              <a:solidFill>
                <a:schemeClr val="tx1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2400"/>
                <a:t>F = </a:t>
              </a:r>
              <a:r>
                <a:rPr lang="es-CO" sz="2400" i="0">
                  <a:latin typeface="Cambria Math" panose="02040503050406030204" pitchFamily="18" charset="0"/>
                </a:rPr>
                <a:t>(</a:t>
              </a:r>
              <a:r>
                <a:rPr lang="es-CO" sz="2400" b="0" i="0">
                  <a:latin typeface="Cambria Math" panose="02040503050406030204" pitchFamily="18" charset="0"/>
                </a:rPr>
                <a:t>𝑆_𝑛𝑒𝑤^2)/(</a:t>
              </a:r>
              <a:r>
                <a:rPr lang="es-CO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𝑆_𝑝^2 )</a:t>
              </a:r>
              <a:endParaRPr lang="es-CO" sz="1200"/>
            </a:p>
          </xdr:txBody>
        </xdr:sp>
      </mc:Fallback>
    </mc:AlternateContent>
    <xdr:clientData/>
  </xdr:oneCellAnchor>
  <xdr:twoCellAnchor>
    <xdr:from>
      <xdr:col>11</xdr:col>
      <xdr:colOff>508000</xdr:colOff>
      <xdr:row>152</xdr:row>
      <xdr:rowOff>428624</xdr:rowOff>
    </xdr:from>
    <xdr:to>
      <xdr:col>16</xdr:col>
      <xdr:colOff>-1</xdr:colOff>
      <xdr:row>159</xdr:row>
      <xdr:rowOff>301625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74719</xdr:colOff>
      <xdr:row>163</xdr:row>
      <xdr:rowOff>11574</xdr:rowOff>
    </xdr:from>
    <xdr:ext cx="1092094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CuadroTexto 63">
              <a:extLst>
                <a:ext uri="{FF2B5EF4-FFF2-40B4-BE49-F238E27FC236}">
                  <a16:creationId xmlns:a16="http://schemas.microsoft.com/office/drawing/2014/main" id="{00000000-0008-0000-0100-00004A000000}"/>
                </a:ext>
              </a:extLst>
            </xdr:cNvPr>
            <xdr:cNvSpPr txBox="1"/>
          </xdr:nvSpPr>
          <xdr:spPr>
            <a:xfrm>
              <a:off x="74719" y="74458974"/>
              <a:ext cx="1092094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400" b="1" i="1">
                        <a:latin typeface="Cambria Math" panose="02040503050406030204" pitchFamily="18" charset="0"/>
                      </a:rPr>
                      <m:t>𝑭</m:t>
                    </m:r>
                    <m:r>
                      <a:rPr lang="es-MX" sz="1400" b="1" i="1">
                        <a:latin typeface="Cambria Math" panose="02040503050406030204" pitchFamily="18" charset="0"/>
                      </a:rPr>
                      <m:t> </m:t>
                    </m:r>
                    <m:d>
                      <m:dPr>
                        <m:ctrlPr>
                          <a:rPr lang="es-MX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1400" b="1" i="1">
                            <a:latin typeface="Cambria Math" panose="02040503050406030204" pitchFamily="18" charset="0"/>
                          </a:rPr>
                          <m:t> , </m:t>
                        </m:r>
                        <m:r>
                          <a:rPr lang="es-MX" sz="1400" b="1" i="1">
                            <a:latin typeface="Cambria Math" panose="02040503050406030204" pitchFamily="18" charset="0"/>
                          </a:rPr>
                          <m:t>𝑽</m:t>
                        </m:r>
                        <m:r>
                          <a:rPr lang="es-MX" sz="14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s-MX" sz="1400" b="1" i="1">
                            <a:latin typeface="Cambria Math" panose="02040503050406030204" pitchFamily="18" charset="0"/>
                          </a:rPr>
                          <m:t>𝑽</m:t>
                        </m:r>
                        <m:r>
                          <a:rPr lang="es-MX" sz="1400" b="1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MX" sz="14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</m:d>
                  </m:oMath>
                </m:oMathPara>
              </a14:m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64" name="CuadroTexto 63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100-00004A000000}"/>
                </a:ext>
              </a:extLst>
            </xdr:cNvPr>
            <xdr:cNvSpPr txBox="1"/>
          </xdr:nvSpPr>
          <xdr:spPr>
            <a:xfrm>
              <a:off x="74719" y="74458974"/>
              <a:ext cx="1092094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400" b="1" i="0">
                  <a:latin typeface="Cambria Math" panose="02040503050406030204" pitchFamily="18" charset="0"/>
                </a:rPr>
                <a:t>𝑭 ( , 𝑽,𝑽∗𝒎)</a:t>
              </a:r>
              <a:endParaRPr lang="es-CO" sz="1400" b="1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147257</xdr:colOff>
      <xdr:row>163</xdr:row>
      <xdr:rowOff>218118</xdr:rowOff>
    </xdr:from>
    <xdr:ext cx="793294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CuadroTexto 64">
              <a:extLst>
                <a:ext uri="{FF2B5EF4-FFF2-40B4-BE49-F238E27FC236}">
                  <a16:creationId xmlns:a16="http://schemas.microsoft.com/office/drawing/2014/main" id="{00000000-0008-0000-0100-00004B000000}"/>
                </a:ext>
              </a:extLst>
            </xdr:cNvPr>
            <xdr:cNvSpPr txBox="1"/>
          </xdr:nvSpPr>
          <xdr:spPr>
            <a:xfrm>
              <a:off x="147257" y="74665518"/>
              <a:ext cx="793294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l-GR" sz="1400" b="1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𝜶</m:t>
                    </m:r>
                    <m:r>
                      <a:rPr lang="es-MX" sz="1400" b="1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MX" sz="1400" b="1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𝟎</m:t>
                    </m:r>
                    <m:r>
                      <a:rPr lang="es-MX" sz="1400" b="1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,</m:t>
                    </m:r>
                    <m:r>
                      <a:rPr lang="es-MX" sz="1400" b="1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𝟎𝟓</m:t>
                    </m:r>
                  </m:oMath>
                </m:oMathPara>
              </a14:m>
              <a:endParaRPr lang="es-CO" sz="1400" b="1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5" name="CuadroTexto 64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100-00004B000000}"/>
                </a:ext>
              </a:extLst>
            </xdr:cNvPr>
            <xdr:cNvSpPr txBox="1"/>
          </xdr:nvSpPr>
          <xdr:spPr>
            <a:xfrm>
              <a:off x="147257" y="74665518"/>
              <a:ext cx="793294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400" b="1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𝜶</a:t>
              </a:r>
              <a:r>
                <a:rPr lang="es-MX" sz="1400" b="1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=𝟎,𝟎𝟓</a:t>
              </a:r>
              <a:endParaRPr lang="es-CO" sz="1400" b="1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 editAs="oneCell">
    <xdr:from>
      <xdr:col>7</xdr:col>
      <xdr:colOff>867833</xdr:colOff>
      <xdr:row>32</xdr:row>
      <xdr:rowOff>296333</xdr:rowOff>
    </xdr:from>
    <xdr:to>
      <xdr:col>11</xdr:col>
      <xdr:colOff>1004093</xdr:colOff>
      <xdr:row>37</xdr:row>
      <xdr:rowOff>319061</xdr:rowOff>
    </xdr:to>
    <xdr:pic>
      <xdr:nvPicPr>
        <xdr:cNvPr id="63" name="Imagen 62" descr="Calibración de básculas- Cómo calibrar instrumentos de pesaje">
          <a:extLst>
            <a:ext uri="{FF2B5EF4-FFF2-40B4-BE49-F238E27FC236}">
              <a16:creationId xmlns:a16="http://schemas.microsoft.com/office/drawing/2014/main" id="{46DD129A-AF4B-4F75-ADCF-35EBDAD4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alphaModFix/>
          <a:duotone>
            <a:prstClr val="black"/>
            <a:schemeClr val="accent6">
              <a:lumMod val="20000"/>
              <a:lumOff val="80000"/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0583" y="14044083"/>
          <a:ext cx="4867011" cy="219231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923948</xdr:colOff>
      <xdr:row>89</xdr:row>
      <xdr:rowOff>116827</xdr:rowOff>
    </xdr:from>
    <xdr:ext cx="650819" cy="1883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37">
              <a:extLst>
                <a:ext uri="{FF2B5EF4-FFF2-40B4-BE49-F238E27FC236}">
                  <a16:creationId xmlns:a16="http://schemas.microsoft.com/office/drawing/2014/main" id="{2B602A07-FF84-4CE9-B437-F543B8DE6A58}"/>
                </a:ext>
              </a:extLst>
            </xdr:cNvPr>
            <xdr:cNvSpPr txBox="1"/>
          </xdr:nvSpPr>
          <xdr:spPr>
            <a:xfrm>
              <a:off x="4435498" y="39569377"/>
              <a:ext cx="650819" cy="1883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sSub>
                      <m:sSub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b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𝜹</m:t>
                        </m:r>
                      </m:e>
                      <m:sub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𝒎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𝒓</m:t>
                        </m:r>
                      </m:sub>
                    </m:sSub>
                    <m:r>
                      <a:rPr lang="es-ES" sz="1100" b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6" name="CuadroTexto 37">
              <a:extLst>
                <a:ext uri="{FF2B5EF4-FFF2-40B4-BE49-F238E27FC236}">
                  <a16:creationId xmlns:a16="http://schemas.microsoft.com/office/drawing/2014/main" id="{2B602A07-FF84-4CE9-B437-F543B8DE6A58}"/>
                </a:ext>
              </a:extLst>
            </xdr:cNvPr>
            <xdr:cNvSpPr txBox="1"/>
          </xdr:nvSpPr>
          <xdr:spPr>
            <a:xfrm>
              <a:off x="4435498" y="39569377"/>
              <a:ext cx="650819" cy="1883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s-E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(𝜹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𝒎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𝒓</a:t>
              </a:r>
              <a:r>
                <a:rPr lang="es-ES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269849</xdr:colOff>
      <xdr:row>74</xdr:row>
      <xdr:rowOff>62992</xdr:rowOff>
    </xdr:from>
    <xdr:ext cx="2090505" cy="2140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>
              <a:extLst>
                <a:ext uri="{FF2B5EF4-FFF2-40B4-BE49-F238E27FC236}">
                  <a16:creationId xmlns:a16="http://schemas.microsoft.com/office/drawing/2014/main" id="{3AFBF59E-1BC8-4D6E-8D01-C4344CCC0F20}"/>
                </a:ext>
              </a:extLst>
            </xdr:cNvPr>
            <xdr:cNvSpPr txBox="1"/>
          </xdr:nvSpPr>
          <xdr:spPr>
            <a:xfrm>
              <a:off x="2610278" y="32230278"/>
              <a:ext cx="2090505" cy="214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400" b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</m:e>
                      <m:sub>
                        <m:r>
                          <a:rPr lang="es-MX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  <m:r>
                          <a:rPr lang="es-CO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sub>
                    </m:sSub>
                    <m:r>
                      <a:rPr lang="es-ES" sz="1400" b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)=(</m:t>
                    </m:r>
                    <m:r>
                      <a:rPr lang="es-E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r>
                      <a:rPr lang="es-E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ES" sz="1400" b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)⁄</m:t>
                    </m:r>
                    <m:rad>
                      <m:radPr>
                        <m:degHide m:val="on"/>
                        <m:ctrlPr>
                          <a:rPr lang="es-CO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CO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</m:t>
                        </m:r>
                      </m:e>
                    </m:rad>
                  </m:oMath>
                </m:oMathPara>
              </a14:m>
              <a:endParaRPr lang="es-CO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7" name="CuadroTexto 66">
              <a:extLst>
                <a:ext uri="{FF2B5EF4-FFF2-40B4-BE49-F238E27FC236}">
                  <a16:creationId xmlns:a16="http://schemas.microsoft.com/office/drawing/2014/main" id="{3AFBF59E-1BC8-4D6E-8D01-C4344CCC0F20}"/>
                </a:ext>
              </a:extLst>
            </xdr:cNvPr>
            <xdr:cNvSpPr txBox="1"/>
          </xdr:nvSpPr>
          <xdr:spPr>
            <a:xfrm>
              <a:off x="2610278" y="32230278"/>
              <a:ext cx="2090505" cy="2140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MX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</a:t>
              </a:r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)=(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E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)⁄</a:t>
              </a:r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√𝐺</a:t>
              </a:r>
              <a:endParaRPr lang="es-CO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12</xdr:row>
      <xdr:rowOff>166687</xdr:rowOff>
    </xdr:from>
    <xdr:to>
      <xdr:col>8</xdr:col>
      <xdr:colOff>970719</xdr:colOff>
      <xdr:row>25</xdr:row>
      <xdr:rowOff>61375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B660B56-F3F2-4185-8E24-6B9268480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1063625</xdr:colOff>
      <xdr:row>12</xdr:row>
      <xdr:rowOff>150813</xdr:rowOff>
    </xdr:from>
    <xdr:to>
      <xdr:col>11</xdr:col>
      <xdr:colOff>915156</xdr:colOff>
      <xdr:row>25</xdr:row>
      <xdr:rowOff>45501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345F3C3-17BE-4724-9D96-21C8D2F8E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1127126</xdr:colOff>
      <xdr:row>12</xdr:row>
      <xdr:rowOff>150813</xdr:rowOff>
    </xdr:from>
    <xdr:to>
      <xdr:col>14</xdr:col>
      <xdr:colOff>756407</xdr:colOff>
      <xdr:row>25</xdr:row>
      <xdr:rowOff>45501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74C04A6-3379-44D2-8E9F-57F05AEF8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769937</xdr:colOff>
      <xdr:row>26</xdr:row>
      <xdr:rowOff>166687</xdr:rowOff>
    </xdr:from>
    <xdr:to>
      <xdr:col>8</xdr:col>
      <xdr:colOff>978656</xdr:colOff>
      <xdr:row>39</xdr:row>
      <xdr:rowOff>61375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62A2DF57-AB76-4C40-9106-D690580E7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134937</xdr:colOff>
      <xdr:row>26</xdr:row>
      <xdr:rowOff>150812</xdr:rowOff>
    </xdr:from>
    <xdr:to>
      <xdr:col>11</xdr:col>
      <xdr:colOff>1073906</xdr:colOff>
      <xdr:row>39</xdr:row>
      <xdr:rowOff>45500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7B67636D-0DFD-461A-9516-AF7A1D497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639537</xdr:colOff>
      <xdr:row>0</xdr:row>
      <xdr:rowOff>195674</xdr:rowOff>
    </xdr:from>
    <xdr:to>
      <xdr:col>3</xdr:col>
      <xdr:colOff>353786</xdr:colOff>
      <xdr:row>2</xdr:row>
      <xdr:rowOff>292077</xdr:rowOff>
    </xdr:to>
    <xdr:pic>
      <xdr:nvPicPr>
        <xdr:cNvPr id="11" name="29 Imagen">
          <a:extLst>
            <a:ext uri="{FF2B5EF4-FFF2-40B4-BE49-F238E27FC236}">
              <a16:creationId xmlns:a16="http://schemas.microsoft.com/office/drawing/2014/main" id="{ABC424D2-45F9-401A-BB9B-6AB5E64BC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9537" y="195674"/>
          <a:ext cx="2272392" cy="8584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its2sicgov.sharepoint.com/Users/eaguirre/Desktop/Directos/Funcionarios/SISTEMA%20GESTION%20DE%20CALIDAD/Laboratorios%20de%20masas%20y%20volumen%20(RT03)/Calibraciones%20Balanzas/Calibraciones%20casa%20consumidor%20Popayan/CER%200.012%20Casa%20del%20Consumidor%20Popayan.xlsx?BB241053" TargetMode="External"/><Relationship Id="rId1" Type="http://schemas.openxmlformats.org/officeDocument/2006/relationships/externalLinkPath" Target="file:///\\BB241053\CER%200.012%20Casa%20del%20Consumidor%20Popay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os/Funcionarios/SISTEMA%20GESTION%20DE%20CALIDAD/Laboratorios%20de%20masas%20y%20volumen%20(RT03)/Calibraciones%20Balanzas/Calibraciones%20casa%20consumidor%20Popayan/CER%200.009%20Casa%20del%20Consumidor%20Popay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s2sicgov.sharepoint.com/Users/PVARGAS/Desktop/hoja%20balanzas/CERTIFICADO%200008%20Pedro%20Vargas%20Barranquilla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>
        <row r="13">
          <cell r="E13">
            <v>0.1</v>
          </cell>
        </row>
      </sheetData>
      <sheetData sheetId="1">
        <row r="11">
          <cell r="H11">
            <v>5000</v>
          </cell>
        </row>
        <row r="18">
          <cell r="G18">
            <v>199.9999999998181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AL"/>
      <sheetName val="RESULTADOS"/>
      <sheetName val="Certificado 0,00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uis Henry Barreto Rojas" id="{D17579F1-7002-4AAA-AAED-5688929B5CF1}" userId="Luis Henry Barreto Roja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31" dT="2020-08-24T21:24:22.16" personId="{D17579F1-7002-4AAA-AAED-5688929B5CF1}" id="{5C34B39C-EAA2-487A-8A9D-B9A81BD5EEB0}">
    <text>Valor agregado algebraicamente al resultado no corregido de una medición para compensar un error sistemático. Nota: la corrección es igual al error sistemático, con signo negativo.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https://its2sicgov.sharepoint.com/Users/CA32F~1.YAH/AppData/Local/Temp/Rar$DIa0.424/RT03-F12.Vr.1(2017-04-47).xlsx" TargetMode="External"/><Relationship Id="rId1" Type="http://schemas.openxmlformats.org/officeDocument/2006/relationships/externalLinkPath" Target="https://its2sicgov.sharepoint.com/Users/CA32F~1.YAH/AppData/Local/Temp/Rar$DIa0.424/RT03-F12.Vr.1(2017-04-47).xlsx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X262"/>
  <sheetViews>
    <sheetView showGridLines="0" view="pageBreakPreview" zoomScale="60" zoomScaleNormal="20" workbookViewId="0">
      <selection activeCell="D10" sqref="D10"/>
    </sheetView>
  </sheetViews>
  <sheetFormatPr baseColWidth="10" defaultColWidth="15.7109375" defaultRowHeight="18" x14ac:dyDescent="0.2"/>
  <cols>
    <col min="1" max="1" width="15.7109375" style="45"/>
    <col min="2" max="2" width="20.7109375" style="45" customWidth="1"/>
    <col min="3" max="3" width="34.140625" style="45" customWidth="1"/>
    <col min="4" max="4" width="20.7109375" style="45" customWidth="1"/>
    <col min="5" max="5" width="25.5703125" style="45" customWidth="1"/>
    <col min="6" max="6" width="25" style="45" customWidth="1"/>
    <col min="7" max="7" width="22" style="45" customWidth="1"/>
    <col min="8" max="8" width="22.7109375" style="45" customWidth="1"/>
    <col min="9" max="9" width="26.85546875" style="45" customWidth="1"/>
    <col min="10" max="10" width="24.28515625" style="45" customWidth="1"/>
    <col min="11" max="12" width="20.7109375" style="45" customWidth="1"/>
    <col min="13" max="13" width="19.140625" style="45" customWidth="1"/>
    <col min="14" max="14" width="19.42578125" style="45" customWidth="1"/>
    <col min="15" max="16" width="20.7109375" style="46" customWidth="1"/>
    <col min="17" max="17" width="24.28515625" style="46" customWidth="1"/>
    <col min="18" max="21" width="20.7109375" style="46" customWidth="1"/>
    <col min="22" max="22" width="22.140625" style="262" customWidth="1"/>
    <col min="23" max="26" width="20.7109375" style="46" customWidth="1"/>
    <col min="27" max="33" width="20.7109375" style="45" customWidth="1"/>
    <col min="34" max="34" width="19.85546875" style="45" bestFit="1" customWidth="1"/>
    <col min="35" max="38" width="15.85546875" style="45" bestFit="1" customWidth="1"/>
    <col min="39" max="43" width="16" style="45" customWidth="1"/>
    <col min="44" max="47" width="10.7109375" style="45" customWidth="1"/>
    <col min="48" max="48" width="16" style="45" bestFit="1" customWidth="1"/>
    <col min="49" max="49" width="15.85546875" style="45" bestFit="1" customWidth="1"/>
    <col min="50" max="50" width="20.7109375" style="45" bestFit="1" customWidth="1"/>
    <col min="51" max="51" width="15.85546875" style="45" bestFit="1" customWidth="1"/>
    <col min="52" max="52" width="15.7109375" style="45"/>
    <col min="53" max="53" width="20" style="45" customWidth="1"/>
    <col min="54" max="55" width="10.7109375" style="45" customWidth="1"/>
    <col min="56" max="16384" width="15.7109375" style="45"/>
  </cols>
  <sheetData>
    <row r="1" spans="1:26" ht="39.950000000000003" customHeight="1" x14ac:dyDescent="0.2">
      <c r="A1" s="966"/>
      <c r="B1" s="966"/>
      <c r="C1" s="966"/>
      <c r="D1" s="966"/>
      <c r="E1" s="969" t="s">
        <v>0</v>
      </c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969"/>
      <c r="S1" s="969"/>
      <c r="T1" s="969"/>
      <c r="U1" s="969"/>
      <c r="V1" s="969"/>
    </row>
    <row r="2" spans="1:26" ht="39.950000000000003" customHeight="1" x14ac:dyDescent="0.2">
      <c r="A2" s="967"/>
      <c r="B2" s="967"/>
      <c r="C2" s="967"/>
      <c r="D2" s="967"/>
      <c r="E2" s="970"/>
      <c r="F2" s="970"/>
      <c r="G2" s="970"/>
      <c r="H2" s="970"/>
      <c r="I2" s="970"/>
      <c r="J2" s="970"/>
      <c r="K2" s="970"/>
      <c r="L2" s="970"/>
      <c r="M2" s="970"/>
      <c r="N2" s="970"/>
      <c r="O2" s="970"/>
      <c r="P2" s="970"/>
      <c r="Q2" s="970"/>
      <c r="R2" s="970"/>
      <c r="S2" s="970"/>
      <c r="T2" s="970"/>
      <c r="U2" s="970"/>
      <c r="V2" s="970"/>
    </row>
    <row r="3" spans="1:26" ht="39.950000000000003" customHeight="1" thickBot="1" x14ac:dyDescent="0.25">
      <c r="A3" s="968"/>
      <c r="B3" s="968"/>
      <c r="C3" s="968"/>
      <c r="D3" s="968"/>
      <c r="E3" s="971"/>
      <c r="F3" s="971"/>
      <c r="G3" s="971"/>
      <c r="H3" s="971"/>
      <c r="I3" s="971"/>
      <c r="J3" s="971"/>
      <c r="K3" s="971"/>
      <c r="L3" s="971"/>
      <c r="M3" s="971"/>
      <c r="N3" s="971"/>
      <c r="O3" s="971"/>
      <c r="P3" s="971"/>
      <c r="Q3" s="971"/>
      <c r="R3" s="971"/>
      <c r="S3" s="971"/>
      <c r="T3" s="971"/>
      <c r="U3" s="971"/>
      <c r="V3" s="971"/>
    </row>
    <row r="4" spans="1:26" ht="30" customHeight="1" thickBot="1" x14ac:dyDescent="0.25"/>
    <row r="5" spans="1:26" ht="30" customHeight="1" x14ac:dyDescent="0.2">
      <c r="C5" s="840" t="s">
        <v>1</v>
      </c>
      <c r="D5" s="841"/>
      <c r="E5" s="841"/>
      <c r="F5" s="841"/>
      <c r="G5" s="841"/>
      <c r="H5" s="841"/>
      <c r="I5" s="841"/>
      <c r="J5" s="841"/>
      <c r="K5" s="841"/>
      <c r="L5" s="842"/>
      <c r="M5" s="46"/>
      <c r="N5" s="46"/>
      <c r="V5" s="46"/>
      <c r="Y5" s="45"/>
      <c r="Z5" s="45"/>
    </row>
    <row r="6" spans="1:26" ht="30" customHeight="1" thickBot="1" x14ac:dyDescent="0.25">
      <c r="C6" s="843"/>
      <c r="D6" s="844"/>
      <c r="E6" s="844"/>
      <c r="F6" s="844"/>
      <c r="G6" s="844"/>
      <c r="H6" s="844"/>
      <c r="I6" s="844"/>
      <c r="J6" s="844"/>
      <c r="K6" s="844"/>
      <c r="L6" s="845"/>
      <c r="M6" s="46"/>
      <c r="N6" s="46"/>
      <c r="V6" s="46"/>
      <c r="Y6" s="45"/>
      <c r="Z6" s="45"/>
    </row>
    <row r="7" spans="1:26" ht="30" customHeight="1" x14ac:dyDescent="0.2">
      <c r="C7" s="878" t="s">
        <v>2</v>
      </c>
      <c r="D7" s="861" t="s">
        <v>3</v>
      </c>
      <c r="E7" s="861" t="s">
        <v>4</v>
      </c>
      <c r="F7" s="861" t="s">
        <v>5</v>
      </c>
      <c r="G7" s="861" t="s">
        <v>6</v>
      </c>
      <c r="H7" s="861" t="s">
        <v>7</v>
      </c>
      <c r="I7" s="861" t="s">
        <v>8</v>
      </c>
      <c r="J7" s="863"/>
      <c r="K7" s="901" t="s">
        <v>9</v>
      </c>
      <c r="L7" s="903" t="s">
        <v>10</v>
      </c>
      <c r="M7" s="46"/>
      <c r="N7" s="46"/>
      <c r="V7" s="46"/>
      <c r="Y7" s="45"/>
      <c r="Z7" s="45"/>
    </row>
    <row r="8" spans="1:26" ht="30" customHeight="1" thickBot="1" x14ac:dyDescent="0.25">
      <c r="C8" s="879"/>
      <c r="D8" s="862"/>
      <c r="E8" s="862"/>
      <c r="F8" s="862"/>
      <c r="G8" s="862"/>
      <c r="H8" s="862"/>
      <c r="I8" s="862"/>
      <c r="J8" s="864"/>
      <c r="K8" s="902" t="s">
        <v>11</v>
      </c>
      <c r="L8" s="904"/>
      <c r="M8" s="46"/>
      <c r="N8" s="46"/>
      <c r="V8" s="46"/>
      <c r="Y8" s="45"/>
      <c r="Z8" s="45"/>
    </row>
    <row r="9" spans="1:26" ht="30" customHeight="1" x14ac:dyDescent="0.2">
      <c r="C9" s="541"/>
      <c r="D9" s="542"/>
      <c r="E9" s="542"/>
      <c r="F9" s="542"/>
      <c r="G9" s="542"/>
      <c r="H9" s="542"/>
      <c r="I9" s="649"/>
      <c r="J9" s="651"/>
      <c r="K9" s="60"/>
      <c r="L9" s="508"/>
      <c r="M9" s="46"/>
      <c r="N9" s="46"/>
      <c r="V9" s="46"/>
      <c r="Y9" s="45"/>
      <c r="Z9" s="45"/>
    </row>
    <row r="10" spans="1:26" ht="75" customHeight="1" x14ac:dyDescent="0.2">
      <c r="C10" s="123">
        <v>1</v>
      </c>
      <c r="D10" s="433"/>
      <c r="E10" s="434"/>
      <c r="F10" s="432"/>
      <c r="G10" s="435"/>
      <c r="H10" s="434"/>
      <c r="I10" s="650"/>
      <c r="J10" s="652"/>
      <c r="K10" s="129">
        <v>2</v>
      </c>
      <c r="L10" s="171">
        <v>0.95</v>
      </c>
      <c r="O10" s="45"/>
      <c r="P10" s="45"/>
      <c r="Q10" s="45"/>
      <c r="R10" s="45"/>
      <c r="S10" s="45"/>
      <c r="U10" s="45"/>
      <c r="V10" s="45"/>
      <c r="W10" s="45"/>
      <c r="X10" s="45"/>
      <c r="Y10" s="45"/>
      <c r="Z10" s="45"/>
    </row>
    <row r="11" spans="1:26" ht="30" customHeight="1" thickBot="1" x14ac:dyDescent="0.3">
      <c r="C11" s="47"/>
      <c r="D11" s="48"/>
      <c r="E11" s="48"/>
      <c r="F11" s="48"/>
      <c r="G11" s="48"/>
      <c r="H11" s="48"/>
      <c r="I11" s="54"/>
      <c r="J11" s="653"/>
      <c r="K11" s="47"/>
      <c r="L11" s="54"/>
      <c r="O11" s="45"/>
      <c r="P11" s="45"/>
      <c r="Q11" s="45"/>
      <c r="R11" s="45"/>
      <c r="S11" s="45"/>
      <c r="T11" s="263"/>
      <c r="U11" s="45"/>
      <c r="V11" s="45"/>
      <c r="W11" s="45"/>
      <c r="X11" s="45"/>
      <c r="Y11" s="45"/>
      <c r="Z11" s="45"/>
    </row>
    <row r="12" spans="1:26" ht="30" customHeight="1" thickBot="1" x14ac:dyDescent="0.3">
      <c r="O12" s="45"/>
      <c r="P12" s="45"/>
      <c r="Q12" s="45"/>
      <c r="R12" s="45"/>
      <c r="S12" s="45"/>
      <c r="T12" s="45"/>
      <c r="U12" s="45"/>
      <c r="V12" s="263"/>
      <c r="W12" s="45"/>
      <c r="X12" s="45"/>
      <c r="Y12" s="45"/>
      <c r="Z12" s="45"/>
    </row>
    <row r="13" spans="1:26" ht="30" customHeight="1" x14ac:dyDescent="0.25">
      <c r="C13" s="840" t="s">
        <v>12</v>
      </c>
      <c r="D13" s="841"/>
      <c r="E13" s="841"/>
      <c r="F13" s="841"/>
      <c r="G13" s="841"/>
      <c r="H13" s="841"/>
      <c r="I13" s="841"/>
      <c r="J13" s="841"/>
      <c r="K13" s="841"/>
      <c r="L13" s="842"/>
      <c r="O13" s="45"/>
      <c r="P13" s="45"/>
      <c r="Q13" s="45"/>
      <c r="R13" s="45"/>
      <c r="S13" s="45"/>
      <c r="T13" s="45"/>
      <c r="U13" s="45"/>
      <c r="V13" s="263"/>
      <c r="W13" s="45"/>
      <c r="X13" s="45"/>
      <c r="Y13" s="45"/>
      <c r="Z13" s="45"/>
    </row>
    <row r="14" spans="1:26" ht="30" customHeight="1" thickBot="1" x14ac:dyDescent="0.25">
      <c r="C14" s="843"/>
      <c r="D14" s="844"/>
      <c r="E14" s="844"/>
      <c r="F14" s="844"/>
      <c r="G14" s="844"/>
      <c r="H14" s="844"/>
      <c r="I14" s="844"/>
      <c r="J14" s="844"/>
      <c r="K14" s="844"/>
      <c r="L14" s="845"/>
    </row>
    <row r="15" spans="1:26" ht="30" customHeight="1" x14ac:dyDescent="0.2">
      <c r="C15" s="849" t="s">
        <v>2</v>
      </c>
      <c r="D15" s="851" t="s">
        <v>13</v>
      </c>
      <c r="E15" s="851" t="s">
        <v>14</v>
      </c>
      <c r="F15" s="851" t="s">
        <v>15</v>
      </c>
      <c r="G15" s="853" t="s">
        <v>16</v>
      </c>
      <c r="H15" s="853" t="s">
        <v>17</v>
      </c>
      <c r="I15" s="851" t="s">
        <v>18</v>
      </c>
      <c r="J15" s="851" t="s">
        <v>19</v>
      </c>
      <c r="K15" s="855" t="s">
        <v>5</v>
      </c>
      <c r="L15" s="861" t="s">
        <v>8</v>
      </c>
    </row>
    <row r="16" spans="1:26" ht="30" customHeight="1" thickBot="1" x14ac:dyDescent="0.25">
      <c r="C16" s="850"/>
      <c r="D16" s="852"/>
      <c r="E16" s="852"/>
      <c r="F16" s="852"/>
      <c r="G16" s="854"/>
      <c r="H16" s="854"/>
      <c r="I16" s="852"/>
      <c r="J16" s="852"/>
      <c r="K16" s="856"/>
      <c r="L16" s="862"/>
    </row>
    <row r="17" spans="2:22" ht="30" customHeight="1" thickBot="1" x14ac:dyDescent="0.25">
      <c r="C17" s="592"/>
      <c r="D17" s="528"/>
      <c r="E17" s="528"/>
      <c r="F17" s="528"/>
      <c r="G17" s="528"/>
      <c r="H17" s="528"/>
      <c r="I17" s="528"/>
      <c r="J17" s="528"/>
      <c r="K17" s="528"/>
      <c r="L17" s="529"/>
    </row>
    <row r="18" spans="2:22" ht="30" customHeight="1" thickBot="1" x14ac:dyDescent="0.25">
      <c r="B18" s="597" t="s">
        <v>20</v>
      </c>
      <c r="C18" s="530"/>
      <c r="D18" s="531"/>
      <c r="E18" s="531"/>
      <c r="F18" s="531"/>
      <c r="G18" s="533"/>
      <c r="H18" s="534"/>
      <c r="I18" s="534"/>
      <c r="J18" s="531"/>
      <c r="K18" s="454"/>
      <c r="L18" s="535"/>
    </row>
    <row r="19" spans="2:22" ht="30" customHeight="1" thickBot="1" x14ac:dyDescent="0.25">
      <c r="B19" s="597" t="s">
        <v>21</v>
      </c>
      <c r="C19" s="129">
        <v>1</v>
      </c>
      <c r="D19" s="440"/>
      <c r="E19" s="440"/>
      <c r="F19" s="440"/>
      <c r="G19" s="440"/>
      <c r="H19" s="440"/>
      <c r="I19" s="440"/>
      <c r="J19" s="440"/>
      <c r="K19" s="455"/>
      <c r="L19" s="564"/>
    </row>
    <row r="20" spans="2:22" ht="30" customHeight="1" thickBot="1" x14ac:dyDescent="0.25">
      <c r="B20" s="597" t="s">
        <v>22</v>
      </c>
      <c r="C20" s="532"/>
      <c r="D20" s="444"/>
      <c r="E20" s="444"/>
      <c r="F20" s="444"/>
      <c r="G20" s="456"/>
      <c r="H20" s="459"/>
      <c r="I20" s="536"/>
      <c r="J20" s="444"/>
      <c r="K20" s="456"/>
      <c r="L20" s="537"/>
    </row>
    <row r="21" spans="2:22" ht="30" customHeight="1" thickBot="1" x14ac:dyDescent="0.25">
      <c r="B21" s="740" t="s">
        <v>543</v>
      </c>
      <c r="C21" s="530"/>
      <c r="D21" s="531"/>
      <c r="E21" s="531"/>
      <c r="F21" s="531"/>
      <c r="G21" s="533"/>
      <c r="H21" s="534"/>
      <c r="I21" s="534"/>
      <c r="J21" s="531"/>
      <c r="K21" s="454"/>
      <c r="L21" s="535"/>
    </row>
    <row r="22" spans="2:22" ht="30" customHeight="1" thickBot="1" x14ac:dyDescent="0.25">
      <c r="B22" s="597" t="s">
        <v>23</v>
      </c>
      <c r="C22" s="129">
        <v>2</v>
      </c>
      <c r="D22" s="440" t="s">
        <v>60</v>
      </c>
      <c r="E22" s="440" t="s">
        <v>538</v>
      </c>
      <c r="F22" s="440">
        <v>29605077</v>
      </c>
      <c r="G22" s="741">
        <v>35000</v>
      </c>
      <c r="H22" s="440">
        <v>5</v>
      </c>
      <c r="I22" s="440">
        <v>0.1</v>
      </c>
      <c r="J22" s="440">
        <v>1</v>
      </c>
      <c r="K22" s="455"/>
      <c r="L22" s="564"/>
    </row>
    <row r="23" spans="2:22" ht="30" customHeight="1" thickBot="1" x14ac:dyDescent="0.25">
      <c r="B23" s="598" t="s">
        <v>24</v>
      </c>
      <c r="C23" s="532"/>
      <c r="D23" s="444"/>
      <c r="E23" s="444"/>
      <c r="F23" s="444"/>
      <c r="G23" s="456"/>
      <c r="H23" s="459"/>
      <c r="I23" s="536"/>
      <c r="J23" s="444"/>
      <c r="K23" s="456"/>
      <c r="L23" s="537"/>
    </row>
    <row r="24" spans="2:22" ht="30" customHeight="1" x14ac:dyDescent="0.2">
      <c r="C24" s="840" t="s">
        <v>25</v>
      </c>
      <c r="D24" s="841"/>
      <c r="E24" s="841"/>
      <c r="F24" s="841"/>
      <c r="G24" s="841"/>
      <c r="H24" s="841"/>
      <c r="I24" s="841"/>
      <c r="J24" s="841"/>
      <c r="K24" s="841"/>
      <c r="L24" s="841"/>
      <c r="M24" s="841"/>
      <c r="N24" s="841"/>
      <c r="O24" s="841"/>
      <c r="P24" s="841"/>
      <c r="Q24" s="841"/>
      <c r="R24" s="841"/>
      <c r="S24" s="841"/>
      <c r="T24" s="841"/>
      <c r="U24" s="984"/>
      <c r="V24" s="985"/>
    </row>
    <row r="25" spans="2:22" ht="30" customHeight="1" thickBot="1" x14ac:dyDescent="0.25">
      <c r="C25" s="929"/>
      <c r="D25" s="930"/>
      <c r="E25" s="930"/>
      <c r="F25" s="930"/>
      <c r="G25" s="930"/>
      <c r="H25" s="930"/>
      <c r="I25" s="930"/>
      <c r="J25" s="930"/>
      <c r="K25" s="930"/>
      <c r="L25" s="930"/>
      <c r="M25" s="930"/>
      <c r="N25" s="930"/>
      <c r="O25" s="930"/>
      <c r="P25" s="930"/>
      <c r="Q25" s="930"/>
      <c r="R25" s="930"/>
      <c r="S25" s="930"/>
      <c r="T25" s="930"/>
      <c r="U25" s="986"/>
      <c r="V25" s="987"/>
    </row>
    <row r="26" spans="2:22" ht="30" customHeight="1" x14ac:dyDescent="0.2">
      <c r="C26" s="874" t="s">
        <v>26</v>
      </c>
      <c r="D26" s="857" t="s">
        <v>27</v>
      </c>
      <c r="E26" s="857" t="s">
        <v>13</v>
      </c>
      <c r="F26" s="857" t="s">
        <v>15</v>
      </c>
      <c r="G26" s="857" t="s">
        <v>28</v>
      </c>
      <c r="H26" s="859" t="s">
        <v>29</v>
      </c>
      <c r="I26" s="859" t="s">
        <v>546</v>
      </c>
      <c r="J26" s="869" t="s">
        <v>30</v>
      </c>
      <c r="K26" s="859" t="s">
        <v>31</v>
      </c>
      <c r="L26" s="859" t="s">
        <v>32</v>
      </c>
      <c r="M26" s="869" t="s">
        <v>33</v>
      </c>
      <c r="N26" s="859" t="s">
        <v>34</v>
      </c>
      <c r="O26" s="594" t="s">
        <v>35</v>
      </c>
      <c r="P26" s="869" t="s">
        <v>36</v>
      </c>
      <c r="Q26" s="869" t="s">
        <v>37</v>
      </c>
      <c r="R26" s="869" t="s">
        <v>38</v>
      </c>
      <c r="S26" s="857" t="s">
        <v>39</v>
      </c>
      <c r="T26" s="869" t="s">
        <v>40</v>
      </c>
      <c r="U26" s="865" t="s">
        <v>41</v>
      </c>
      <c r="V26" s="876" t="s">
        <v>42</v>
      </c>
    </row>
    <row r="27" spans="2:22" ht="42.75" customHeight="1" thickBot="1" x14ac:dyDescent="0.25">
      <c r="C27" s="875"/>
      <c r="D27" s="858"/>
      <c r="E27" s="858"/>
      <c r="F27" s="858"/>
      <c r="G27" s="858"/>
      <c r="H27" s="860"/>
      <c r="I27" s="860"/>
      <c r="J27" s="870"/>
      <c r="K27" s="860"/>
      <c r="L27" s="860"/>
      <c r="M27" s="870"/>
      <c r="N27" s="860"/>
      <c r="O27" s="643" t="s">
        <v>43</v>
      </c>
      <c r="P27" s="870"/>
      <c r="Q27" s="870"/>
      <c r="R27" s="870"/>
      <c r="S27" s="858"/>
      <c r="T27" s="870"/>
      <c r="U27" s="866"/>
      <c r="V27" s="877"/>
    </row>
    <row r="28" spans="2:22" ht="30" customHeight="1" thickBot="1" x14ac:dyDescent="0.25">
      <c r="C28" s="665"/>
      <c r="D28" s="666"/>
      <c r="E28" s="666"/>
      <c r="F28" s="666"/>
      <c r="G28" s="666"/>
      <c r="H28" s="666"/>
      <c r="I28" s="666"/>
      <c r="J28" s="666"/>
      <c r="K28" s="666"/>
      <c r="L28" s="666"/>
      <c r="M28" s="667"/>
      <c r="N28" s="667"/>
      <c r="O28" s="666"/>
      <c r="P28" s="667"/>
      <c r="Q28" s="666"/>
      <c r="R28" s="667"/>
      <c r="S28" s="667"/>
      <c r="T28" s="644"/>
      <c r="U28" s="507"/>
      <c r="V28" s="508"/>
    </row>
    <row r="29" spans="2:22" ht="30" customHeight="1" x14ac:dyDescent="0.2">
      <c r="B29" s="881" t="s">
        <v>44</v>
      </c>
      <c r="C29" s="658" t="s">
        <v>45</v>
      </c>
      <c r="D29" s="324" t="s">
        <v>46</v>
      </c>
      <c r="E29" s="324" t="s">
        <v>47</v>
      </c>
      <c r="F29" s="324">
        <v>27696</v>
      </c>
      <c r="G29" s="324" t="s">
        <v>48</v>
      </c>
      <c r="H29" s="437">
        <v>4694</v>
      </c>
      <c r="I29" s="474">
        <v>44077</v>
      </c>
      <c r="J29" s="324">
        <v>5</v>
      </c>
      <c r="K29" s="437">
        <v>7.0000000000000007E-2</v>
      </c>
      <c r="L29" s="490">
        <v>7.0000000000000007E-2</v>
      </c>
      <c r="M29" s="384">
        <f t="shared" ref="M29:M35" si="0">J29+(K29)/1000</f>
        <v>5.00007</v>
      </c>
      <c r="N29" s="384">
        <f t="shared" ref="N29:N35" si="1">J29+(L29)/1000</f>
        <v>5.00007</v>
      </c>
      <c r="O29" s="494">
        <f>ABS(N29-M29)/SQRT(3)*1000</f>
        <v>0</v>
      </c>
      <c r="P29" s="380">
        <v>0.05</v>
      </c>
      <c r="Q29" s="500">
        <f>(0.34848*((752.2+752.9)/2)-0.009024*((47+54.1)/2)*EXP(0.0612*((19.7+21.3)/2)))/(273.15+((19.7+21.3)/2))</f>
        <v>0.88761831143467929</v>
      </c>
      <c r="R29" s="324" t="s">
        <v>49</v>
      </c>
      <c r="S29" s="377" t="s">
        <v>50</v>
      </c>
      <c r="T29" s="959">
        <v>2</v>
      </c>
      <c r="U29" s="175">
        <v>1</v>
      </c>
      <c r="V29" s="372">
        <v>1</v>
      </c>
    </row>
    <row r="30" spans="2:22" ht="30" customHeight="1" x14ac:dyDescent="0.2">
      <c r="B30" s="880"/>
      <c r="C30" s="645" t="s">
        <v>51</v>
      </c>
      <c r="D30" s="175" t="s">
        <v>46</v>
      </c>
      <c r="E30" s="175" t="s">
        <v>47</v>
      </c>
      <c r="F30" s="175">
        <v>27696</v>
      </c>
      <c r="G30" s="175" t="s">
        <v>48</v>
      </c>
      <c r="H30" s="440">
        <f>$H$29</f>
        <v>4694</v>
      </c>
      <c r="I30" s="473">
        <f>$I$29</f>
        <v>44077</v>
      </c>
      <c r="J30" s="175">
        <v>200</v>
      </c>
      <c r="K30" s="440">
        <v>0.1</v>
      </c>
      <c r="L30" s="440">
        <v>0.1</v>
      </c>
      <c r="M30" s="382">
        <f t="shared" si="0"/>
        <v>200.0001</v>
      </c>
      <c r="N30" s="382">
        <f t="shared" si="1"/>
        <v>200.0001</v>
      </c>
      <c r="O30" s="477">
        <f t="shared" ref="O30:O92" si="2">ABS(N30-M30)/SQRT(3)*1000</f>
        <v>0</v>
      </c>
      <c r="P30" s="373">
        <v>0.33</v>
      </c>
      <c r="Q30" s="501">
        <f>(0.34848*((752.2+752.9)/2)-0.009024*((47+54.1)/2)*EXP(0.0612*((19.7+21.3)/2)))/(273.15+((19.7+21.3)/2))</f>
        <v>0.88761831143467929</v>
      </c>
      <c r="R30" s="175" t="s">
        <v>49</v>
      </c>
      <c r="S30" s="372" t="s">
        <v>50</v>
      </c>
      <c r="T30" s="959"/>
      <c r="U30" s="175">
        <v>2</v>
      </c>
      <c r="V30" s="372">
        <v>2</v>
      </c>
    </row>
    <row r="31" spans="2:22" ht="30" customHeight="1" x14ac:dyDescent="0.2">
      <c r="B31" s="880"/>
      <c r="C31" s="645" t="s">
        <v>52</v>
      </c>
      <c r="D31" s="175" t="s">
        <v>46</v>
      </c>
      <c r="E31" s="175" t="s">
        <v>47</v>
      </c>
      <c r="F31" s="175">
        <v>27696</v>
      </c>
      <c r="G31" s="175" t="s">
        <v>48</v>
      </c>
      <c r="H31" s="440">
        <f t="shared" ref="H31:H35" si="3">$H$29</f>
        <v>4694</v>
      </c>
      <c r="I31" s="473">
        <f t="shared" ref="I31:I35" si="4">$I$29</f>
        <v>44077</v>
      </c>
      <c r="J31" s="175">
        <v>1000</v>
      </c>
      <c r="K31" s="440">
        <v>-0.6</v>
      </c>
      <c r="L31" s="440">
        <v>-0.6</v>
      </c>
      <c r="M31" s="371">
        <f t="shared" si="0"/>
        <v>999.99940000000004</v>
      </c>
      <c r="N31" s="371">
        <f t="shared" si="1"/>
        <v>999.99940000000004</v>
      </c>
      <c r="O31" s="477">
        <f t="shared" si="2"/>
        <v>0</v>
      </c>
      <c r="P31" s="373">
        <v>1.6</v>
      </c>
      <c r="Q31" s="501">
        <f>(0.34848*((752.2+752.9)/2)-0.009024*((47+54.1)/2)*EXP(0.0612*((19.7+21.3)/2)))/(273.15+((19.7+21.3)/2))</f>
        <v>0.88761831143467929</v>
      </c>
      <c r="R31" s="175" t="s">
        <v>49</v>
      </c>
      <c r="S31" s="372" t="s">
        <v>50</v>
      </c>
      <c r="T31" s="959"/>
      <c r="U31" s="175">
        <v>5</v>
      </c>
      <c r="V31" s="372">
        <v>5</v>
      </c>
    </row>
    <row r="32" spans="2:22" ht="30" customHeight="1" x14ac:dyDescent="0.2">
      <c r="B32" s="880"/>
      <c r="C32" s="645" t="s">
        <v>53</v>
      </c>
      <c r="D32" s="175" t="s">
        <v>46</v>
      </c>
      <c r="E32" s="175" t="s">
        <v>47</v>
      </c>
      <c r="F32" s="175">
        <v>27696</v>
      </c>
      <c r="G32" s="175" t="s">
        <v>48</v>
      </c>
      <c r="H32" s="440">
        <f t="shared" si="3"/>
        <v>4694</v>
      </c>
      <c r="I32" s="473">
        <f t="shared" si="4"/>
        <v>44077</v>
      </c>
      <c r="J32" s="175">
        <v>2000</v>
      </c>
      <c r="K32" s="440">
        <v>3.5</v>
      </c>
      <c r="L32" s="440">
        <v>3.4</v>
      </c>
      <c r="M32" s="383">
        <f t="shared" si="0"/>
        <v>2000.0035</v>
      </c>
      <c r="N32" s="383">
        <f t="shared" si="1"/>
        <v>2000.0034000000001</v>
      </c>
      <c r="O32" s="477">
        <f t="shared" si="2"/>
        <v>5.7735026904469904E-2</v>
      </c>
      <c r="P32" s="373">
        <v>3</v>
      </c>
      <c r="Q32" s="501">
        <f>(0.34848*((752.2+752.9)/2)-0.009024*((47+54.1)/2)*EXP(0.0612*((19.7+21.3)/2)))/(273.15+((19.7+21.3)/2))</f>
        <v>0.88761831143467929</v>
      </c>
      <c r="R32" s="175" t="s">
        <v>49</v>
      </c>
      <c r="S32" s="372" t="s">
        <v>50</v>
      </c>
      <c r="T32" s="959"/>
      <c r="U32" s="175">
        <v>10</v>
      </c>
      <c r="V32" s="372">
        <v>10</v>
      </c>
    </row>
    <row r="33" spans="2:22" ht="30" customHeight="1" x14ac:dyDescent="0.2">
      <c r="B33" s="880"/>
      <c r="C33" s="645" t="s">
        <v>54</v>
      </c>
      <c r="D33" s="175" t="s">
        <v>46</v>
      </c>
      <c r="E33" s="175" t="s">
        <v>47</v>
      </c>
      <c r="F33" s="175">
        <v>27696</v>
      </c>
      <c r="G33" s="175" t="s">
        <v>48</v>
      </c>
      <c r="H33" s="440">
        <f t="shared" si="3"/>
        <v>4694</v>
      </c>
      <c r="I33" s="473">
        <f t="shared" si="4"/>
        <v>44077</v>
      </c>
      <c r="J33" s="175">
        <v>5000</v>
      </c>
      <c r="K33" s="440">
        <v>3.6</v>
      </c>
      <c r="L33" s="440">
        <v>3.4</v>
      </c>
      <c r="M33" s="383">
        <f t="shared" si="0"/>
        <v>5000.0036</v>
      </c>
      <c r="N33" s="383">
        <f t="shared" si="1"/>
        <v>5000.0033999999996</v>
      </c>
      <c r="O33" s="477">
        <f t="shared" si="2"/>
        <v>0.11547005407148832</v>
      </c>
      <c r="P33" s="373">
        <v>8</v>
      </c>
      <c r="Q33" s="501">
        <f>(0.34848*((752.2+752.9)/2)-0.009024*((47+54.1)/2)*EXP(0.0612*((19.7+21.3)/2)))/(273.15+((19.7+21.3)/2))</f>
        <v>0.88761831143467929</v>
      </c>
      <c r="R33" s="175" t="s">
        <v>49</v>
      </c>
      <c r="S33" s="372" t="s">
        <v>50</v>
      </c>
      <c r="T33" s="959"/>
      <c r="U33" s="175">
        <v>20</v>
      </c>
      <c r="V33" s="372">
        <v>20</v>
      </c>
    </row>
    <row r="34" spans="2:22" ht="30" customHeight="1" x14ac:dyDescent="0.2">
      <c r="B34" s="880"/>
      <c r="C34" s="645" t="s">
        <v>55</v>
      </c>
      <c r="D34" s="175" t="s">
        <v>46</v>
      </c>
      <c r="E34" s="175" t="s">
        <v>47</v>
      </c>
      <c r="F34" s="175">
        <v>27696</v>
      </c>
      <c r="G34" s="175" t="s">
        <v>48</v>
      </c>
      <c r="H34" s="440">
        <f t="shared" si="3"/>
        <v>4694</v>
      </c>
      <c r="I34" s="473">
        <f t="shared" si="4"/>
        <v>44077</v>
      </c>
      <c r="J34" s="175">
        <v>6000</v>
      </c>
      <c r="K34" s="476">
        <f>K33+K31</f>
        <v>3</v>
      </c>
      <c r="L34" s="440">
        <f>L33+L31</f>
        <v>2.8</v>
      </c>
      <c r="M34" s="383">
        <f t="shared" si="0"/>
        <v>6000.0029999999997</v>
      </c>
      <c r="N34" s="383">
        <f t="shared" si="1"/>
        <v>6000.0028000000002</v>
      </c>
      <c r="O34" s="477">
        <f t="shared" si="2"/>
        <v>0.1154700535463913</v>
      </c>
      <c r="P34" s="373">
        <f>P33+P31</f>
        <v>9.6</v>
      </c>
      <c r="Q34" s="501">
        <f t="shared" ref="Q34:Q35" si="5">(0.34848*((752.2+752.9)/2)-0.009024*((47+54.1)/2)*EXP(0.0612*((19.7+21.3)/2)))/(273.15+((19.7+21.3)/2))</f>
        <v>0.88761831143467929</v>
      </c>
      <c r="R34" s="175" t="s">
        <v>49</v>
      </c>
      <c r="S34" s="372" t="s">
        <v>50</v>
      </c>
      <c r="T34" s="959"/>
      <c r="U34" s="175">
        <v>50</v>
      </c>
      <c r="V34" s="372">
        <v>50</v>
      </c>
    </row>
    <row r="35" spans="2:22" ht="30" customHeight="1" thickBot="1" x14ac:dyDescent="0.25">
      <c r="B35" s="882"/>
      <c r="C35" s="659" t="s">
        <v>56</v>
      </c>
      <c r="D35" s="325" t="s">
        <v>46</v>
      </c>
      <c r="E35" s="325" t="s">
        <v>47</v>
      </c>
      <c r="F35" s="325">
        <v>27696</v>
      </c>
      <c r="G35" s="325" t="s">
        <v>48</v>
      </c>
      <c r="H35" s="444">
        <f t="shared" si="3"/>
        <v>4694</v>
      </c>
      <c r="I35" s="475">
        <f t="shared" si="4"/>
        <v>44077</v>
      </c>
      <c r="J35" s="325">
        <v>8200</v>
      </c>
      <c r="K35" s="444">
        <f>K33+K32+K31+K30</f>
        <v>6.6</v>
      </c>
      <c r="L35" s="444">
        <f>L33+L32+L31+L30</f>
        <v>6.3</v>
      </c>
      <c r="M35" s="483">
        <f t="shared" si="0"/>
        <v>8200.0066000000006</v>
      </c>
      <c r="N35" s="483">
        <f t="shared" si="1"/>
        <v>8200.0062999999991</v>
      </c>
      <c r="O35" s="495">
        <f t="shared" si="2"/>
        <v>0.17320508163232948</v>
      </c>
      <c r="P35" s="379">
        <f>P33+P32+P31+P30</f>
        <v>12.93</v>
      </c>
      <c r="Q35" s="502">
        <f t="shared" si="5"/>
        <v>0.88761831143467929</v>
      </c>
      <c r="R35" s="325" t="s">
        <v>49</v>
      </c>
      <c r="S35" s="375" t="s">
        <v>50</v>
      </c>
      <c r="T35" s="959"/>
      <c r="U35" s="175">
        <v>100</v>
      </c>
      <c r="V35" s="372">
        <v>100</v>
      </c>
    </row>
    <row r="36" spans="2:22" ht="30" customHeight="1" x14ac:dyDescent="0.2">
      <c r="B36" s="642"/>
      <c r="C36" s="656"/>
      <c r="D36" s="478"/>
      <c r="E36" s="478"/>
      <c r="F36" s="478"/>
      <c r="G36" s="478"/>
      <c r="H36" s="479"/>
      <c r="I36" s="480"/>
      <c r="J36" s="478"/>
      <c r="K36" s="479"/>
      <c r="L36" s="479"/>
      <c r="M36" s="487"/>
      <c r="N36" s="481"/>
      <c r="O36" s="499">
        <f t="shared" si="2"/>
        <v>0</v>
      </c>
      <c r="P36" s="478"/>
      <c r="Q36" s="503"/>
      <c r="R36" s="478"/>
      <c r="S36" s="478"/>
      <c r="T36" s="482"/>
      <c r="U36" s="175">
        <v>200</v>
      </c>
      <c r="V36" s="372">
        <v>200</v>
      </c>
    </row>
    <row r="37" spans="2:22" ht="30" customHeight="1" x14ac:dyDescent="0.2">
      <c r="B37" s="642"/>
      <c r="C37" s="645"/>
      <c r="D37" s="175"/>
      <c r="E37" s="175"/>
      <c r="F37" s="175"/>
      <c r="G37" s="175"/>
      <c r="H37" s="440"/>
      <c r="I37" s="473"/>
      <c r="J37" s="175"/>
      <c r="K37" s="440"/>
      <c r="L37" s="440"/>
      <c r="M37" s="381"/>
      <c r="N37" s="371"/>
      <c r="O37" s="477">
        <f t="shared" si="2"/>
        <v>0</v>
      </c>
      <c r="P37" s="175"/>
      <c r="Q37" s="440"/>
      <c r="R37" s="175"/>
      <c r="S37" s="175"/>
      <c r="T37" s="482"/>
      <c r="U37" s="175">
        <v>500</v>
      </c>
      <c r="V37" s="372">
        <v>500</v>
      </c>
    </row>
    <row r="38" spans="2:22" ht="30" customHeight="1" thickBot="1" x14ac:dyDescent="0.25">
      <c r="B38" s="569"/>
      <c r="C38" s="654"/>
      <c r="D38" s="484"/>
      <c r="E38" s="484"/>
      <c r="F38" s="484"/>
      <c r="G38" s="484"/>
      <c r="H38" s="485"/>
      <c r="I38" s="485"/>
      <c r="J38" s="484"/>
      <c r="K38" s="485"/>
      <c r="L38" s="485"/>
      <c r="M38" s="488"/>
      <c r="N38" s="484"/>
      <c r="O38" s="538">
        <f t="shared" si="2"/>
        <v>0</v>
      </c>
      <c r="P38" s="484"/>
      <c r="Q38" s="504"/>
      <c r="R38" s="484"/>
      <c r="S38" s="484"/>
      <c r="T38" s="486"/>
      <c r="U38" s="505">
        <v>1000</v>
      </c>
      <c r="V38" s="655">
        <v>1000</v>
      </c>
    </row>
    <row r="39" spans="2:22" ht="30" customHeight="1" x14ac:dyDescent="0.2">
      <c r="B39" s="881" t="s">
        <v>57</v>
      </c>
      <c r="C39" s="658" t="s">
        <v>58</v>
      </c>
      <c r="D39" s="324" t="s">
        <v>59</v>
      </c>
      <c r="E39" s="324" t="s">
        <v>60</v>
      </c>
      <c r="F39" s="324">
        <v>27129360</v>
      </c>
      <c r="G39" s="324" t="s">
        <v>61</v>
      </c>
      <c r="H39" s="437">
        <v>4786</v>
      </c>
      <c r="I39" s="474">
        <v>44483</v>
      </c>
      <c r="J39" s="324">
        <v>1</v>
      </c>
      <c r="K39" s="437">
        <v>8.9999999999999993E-3</v>
      </c>
      <c r="L39" s="437">
        <v>8.0000000000000002E-3</v>
      </c>
      <c r="M39" s="384">
        <f t="shared" ref="M39:M70" si="6">J39+(K39)/1000</f>
        <v>1.0000089999999999</v>
      </c>
      <c r="N39" s="384">
        <f t="shared" ref="N39:N70" si="7">J39+(L39)/1000</f>
        <v>1.000008</v>
      </c>
      <c r="O39" s="494">
        <f t="shared" si="2"/>
        <v>5.7735026914212918E-4</v>
      </c>
      <c r="P39" s="376">
        <v>0.01</v>
      </c>
      <c r="Q39" s="500">
        <f>(0.34848*((751.2+755.4)/2)-0.009024*((48.4+57.9)/2)*EXP(0.0612*((19.5+20.7)/2)))/(273.15+((19.5+20.7)/2))</f>
        <v>0.88957844095478944</v>
      </c>
      <c r="R39" s="324" t="s">
        <v>62</v>
      </c>
      <c r="S39" s="324" t="s">
        <v>63</v>
      </c>
      <c r="T39" s="871">
        <v>2</v>
      </c>
      <c r="U39" s="368">
        <v>2000</v>
      </c>
      <c r="V39" s="377">
        <v>2000</v>
      </c>
    </row>
    <row r="40" spans="2:22" ht="30" customHeight="1" x14ac:dyDescent="0.2">
      <c r="B40" s="880"/>
      <c r="C40" s="645" t="s">
        <v>64</v>
      </c>
      <c r="D40" s="175" t="s">
        <v>59</v>
      </c>
      <c r="E40" s="175" t="s">
        <v>60</v>
      </c>
      <c r="F40" s="175">
        <v>27129360</v>
      </c>
      <c r="G40" s="175" t="s">
        <v>65</v>
      </c>
      <c r="H40" s="440">
        <v>4786</v>
      </c>
      <c r="I40" s="473">
        <v>44483</v>
      </c>
      <c r="J40" s="175">
        <v>2</v>
      </c>
      <c r="K40" s="440">
        <v>0.01</v>
      </c>
      <c r="L40" s="461">
        <v>1.0999999999999999E-2</v>
      </c>
      <c r="M40" s="381">
        <f t="shared" si="6"/>
        <v>2.0000100000000001</v>
      </c>
      <c r="N40" s="381">
        <f t="shared" si="7"/>
        <v>2.0000110000000002</v>
      </c>
      <c r="O40" s="477">
        <f t="shared" si="2"/>
        <v>5.7735026927032665E-4</v>
      </c>
      <c r="P40" s="175">
        <v>1.2E-2</v>
      </c>
      <c r="Q40" s="501">
        <f>(0.34848*((751.2+755.4)/2)-0.009024*((48.4+57.9)/2)*EXP(0.0612*((19.5+20.7)/2)))/(273.15+((19.5+20.7)/2))</f>
        <v>0.88957844095478944</v>
      </c>
      <c r="R40" s="175" t="str">
        <f t="shared" ref="R40:R55" si="8">R39</f>
        <v>M-001</v>
      </c>
      <c r="S40" s="175" t="s">
        <v>63</v>
      </c>
      <c r="T40" s="872"/>
      <c r="U40" s="369">
        <v>4000</v>
      </c>
      <c r="V40" s="372">
        <v>5000</v>
      </c>
    </row>
    <row r="41" spans="2:22" ht="30" customHeight="1" x14ac:dyDescent="0.2">
      <c r="B41" s="880"/>
      <c r="C41" s="645" t="s">
        <v>66</v>
      </c>
      <c r="D41" s="175" t="s">
        <v>59</v>
      </c>
      <c r="E41" s="175" t="s">
        <v>60</v>
      </c>
      <c r="F41" s="175">
        <v>27129360</v>
      </c>
      <c r="G41" s="175" t="s">
        <v>67</v>
      </c>
      <c r="H41" s="440">
        <v>4786</v>
      </c>
      <c r="I41" s="473">
        <v>44483</v>
      </c>
      <c r="J41" s="175">
        <v>2</v>
      </c>
      <c r="K41" s="440">
        <v>1.7000000000000001E-2</v>
      </c>
      <c r="L41" s="440">
        <v>1.6E-2</v>
      </c>
      <c r="M41" s="381">
        <f t="shared" si="6"/>
        <v>2.0000170000000002</v>
      </c>
      <c r="N41" s="381">
        <f t="shared" si="7"/>
        <v>2.000016</v>
      </c>
      <c r="O41" s="477">
        <f t="shared" si="2"/>
        <v>5.7735026927032665E-4</v>
      </c>
      <c r="P41" s="175">
        <v>1.2E-2</v>
      </c>
      <c r="Q41" s="501">
        <f>(0.34848*((751.2+755.4)/2)-0.009024*((48.4+57.9)/2)*EXP(0.0612*((19.5+20.7)/2)))/(273.15+((19.5+20.7)/2))</f>
        <v>0.88957844095478944</v>
      </c>
      <c r="R41" s="175" t="str">
        <f t="shared" si="8"/>
        <v>M-001</v>
      </c>
      <c r="S41" s="175" t="s">
        <v>63</v>
      </c>
      <c r="T41" s="872"/>
      <c r="U41" s="369">
        <v>5000</v>
      </c>
      <c r="V41" s="372">
        <v>6000</v>
      </c>
    </row>
    <row r="42" spans="2:22" ht="30" customHeight="1" x14ac:dyDescent="0.2">
      <c r="B42" s="880"/>
      <c r="C42" s="645" t="s">
        <v>68</v>
      </c>
      <c r="D42" s="175" t="s">
        <v>59</v>
      </c>
      <c r="E42" s="175" t="s">
        <v>60</v>
      </c>
      <c r="F42" s="175">
        <v>27129360</v>
      </c>
      <c r="G42" s="175" t="s">
        <v>69</v>
      </c>
      <c r="H42" s="440">
        <v>4786</v>
      </c>
      <c r="I42" s="473">
        <v>44483</v>
      </c>
      <c r="J42" s="175">
        <v>5</v>
      </c>
      <c r="K42" s="440">
        <v>2E-3</v>
      </c>
      <c r="L42" s="461">
        <v>2E-3</v>
      </c>
      <c r="M42" s="381">
        <f t="shared" si="6"/>
        <v>5.0000020000000003</v>
      </c>
      <c r="N42" s="381">
        <f t="shared" si="7"/>
        <v>5.0000020000000003</v>
      </c>
      <c r="O42" s="477">
        <f t="shared" si="2"/>
        <v>0</v>
      </c>
      <c r="P42" s="175">
        <v>1.6E-2</v>
      </c>
      <c r="Q42" s="501">
        <f>(0.34848*((751.2+755.4)/2)-0.009024*((48.4+57.9)/2)*EXP(0.0612*((19.5+20.7)/2)))/(273.15+((19.5+20.7)/2))</f>
        <v>0.88957844095478944</v>
      </c>
      <c r="R42" s="175" t="str">
        <f t="shared" si="8"/>
        <v>M-001</v>
      </c>
      <c r="S42" s="175" t="s">
        <v>63</v>
      </c>
      <c r="T42" s="872"/>
      <c r="U42" s="369">
        <v>10000</v>
      </c>
      <c r="V42" s="372">
        <v>8000</v>
      </c>
    </row>
    <row r="43" spans="2:22" ht="30" customHeight="1" x14ac:dyDescent="0.2">
      <c r="B43" s="880"/>
      <c r="C43" s="645" t="s">
        <v>70</v>
      </c>
      <c r="D43" s="175" t="s">
        <v>59</v>
      </c>
      <c r="E43" s="175" t="s">
        <v>60</v>
      </c>
      <c r="F43" s="175">
        <v>27129360</v>
      </c>
      <c r="G43" s="175" t="s">
        <v>71</v>
      </c>
      <c r="H43" s="440">
        <v>4786</v>
      </c>
      <c r="I43" s="473">
        <v>44483</v>
      </c>
      <c r="J43" s="175">
        <v>10</v>
      </c>
      <c r="K43" s="440">
        <v>1.9E-2</v>
      </c>
      <c r="L43" s="440">
        <v>1.9E-2</v>
      </c>
      <c r="M43" s="381">
        <f t="shared" si="6"/>
        <v>10.000019</v>
      </c>
      <c r="N43" s="381">
        <f t="shared" si="7"/>
        <v>10.000019</v>
      </c>
      <c r="O43" s="477">
        <f t="shared" si="2"/>
        <v>0</v>
      </c>
      <c r="P43" s="378">
        <v>0.02</v>
      </c>
      <c r="Q43" s="501">
        <f t="shared" ref="Q43:Q55" si="9">(0.34848*((751.2+755.4)/2)-0.009024*((48.4+57.9)/2)*EXP(0.0612*((19.5+20.7)/2)))/(273.15+((19.5+20.7)/2))</f>
        <v>0.88957844095478944</v>
      </c>
      <c r="R43" s="175" t="str">
        <f t="shared" si="8"/>
        <v>M-001</v>
      </c>
      <c r="S43" s="175" t="s">
        <v>63</v>
      </c>
      <c r="T43" s="872"/>
      <c r="U43" s="369">
        <v>15000</v>
      </c>
      <c r="V43" s="372">
        <v>8100</v>
      </c>
    </row>
    <row r="44" spans="2:22" ht="30" customHeight="1" x14ac:dyDescent="0.2">
      <c r="B44" s="880"/>
      <c r="C44" s="645" t="s">
        <v>72</v>
      </c>
      <c r="D44" s="175" t="s">
        <v>59</v>
      </c>
      <c r="E44" s="175" t="s">
        <v>60</v>
      </c>
      <c r="F44" s="175">
        <v>27129360</v>
      </c>
      <c r="G44" s="175" t="s">
        <v>73</v>
      </c>
      <c r="H44" s="440">
        <v>4786</v>
      </c>
      <c r="I44" s="473">
        <v>44483</v>
      </c>
      <c r="J44" s="175">
        <v>20</v>
      </c>
      <c r="K44" s="440">
        <v>2.5999999999999999E-2</v>
      </c>
      <c r="L44" s="440">
        <v>1E-3</v>
      </c>
      <c r="M44" s="381">
        <f t="shared" si="6"/>
        <v>20.000025999999998</v>
      </c>
      <c r="N44" s="381">
        <f t="shared" si="7"/>
        <v>20.000001000000001</v>
      </c>
      <c r="O44" s="477">
        <f t="shared" si="2"/>
        <v>1.4433756728168635E-2</v>
      </c>
      <c r="P44" s="175">
        <v>2.5000000000000001E-2</v>
      </c>
      <c r="Q44" s="501">
        <f t="shared" si="9"/>
        <v>0.88957844095478944</v>
      </c>
      <c r="R44" s="175" t="str">
        <f t="shared" si="8"/>
        <v>M-001</v>
      </c>
      <c r="S44" s="175" t="s">
        <v>63</v>
      </c>
      <c r="T44" s="872"/>
      <c r="U44" s="369">
        <v>20000</v>
      </c>
      <c r="V44" s="372">
        <v>8200</v>
      </c>
    </row>
    <row r="45" spans="2:22" ht="30" customHeight="1" x14ac:dyDescent="0.2">
      <c r="B45" s="880"/>
      <c r="C45" s="645" t="s">
        <v>74</v>
      </c>
      <c r="D45" s="175" t="s">
        <v>59</v>
      </c>
      <c r="E45" s="175" t="s">
        <v>60</v>
      </c>
      <c r="F45" s="175">
        <v>27129360</v>
      </c>
      <c r="G45" s="175" t="s">
        <v>75</v>
      </c>
      <c r="H45" s="440">
        <v>4786</v>
      </c>
      <c r="I45" s="473">
        <v>44483</v>
      </c>
      <c r="J45" s="175">
        <v>20</v>
      </c>
      <c r="K45" s="440">
        <v>7.0000000000000001E-3</v>
      </c>
      <c r="L45" s="440">
        <v>1.0999999999999999E-2</v>
      </c>
      <c r="M45" s="381">
        <f t="shared" si="6"/>
        <v>20.000007</v>
      </c>
      <c r="N45" s="381">
        <f t="shared" si="7"/>
        <v>20.000011000000001</v>
      </c>
      <c r="O45" s="477">
        <f t="shared" si="2"/>
        <v>2.3094010770813066E-3</v>
      </c>
      <c r="P45" s="175">
        <v>2.5000000000000001E-2</v>
      </c>
      <c r="Q45" s="501">
        <f t="shared" si="9"/>
        <v>0.88957844095478944</v>
      </c>
      <c r="R45" s="175" t="str">
        <f t="shared" si="8"/>
        <v>M-001</v>
      </c>
      <c r="S45" s="175" t="s">
        <v>63</v>
      </c>
      <c r="T45" s="872"/>
      <c r="U45" s="369">
        <v>25000</v>
      </c>
      <c r="V45" s="372">
        <v>10000</v>
      </c>
    </row>
    <row r="46" spans="2:22" ht="30" customHeight="1" x14ac:dyDescent="0.2">
      <c r="B46" s="880"/>
      <c r="C46" s="645" t="s">
        <v>76</v>
      </c>
      <c r="D46" s="175" t="s">
        <v>59</v>
      </c>
      <c r="E46" s="175" t="s">
        <v>60</v>
      </c>
      <c r="F46" s="175">
        <v>27129360</v>
      </c>
      <c r="G46" s="175" t="s">
        <v>77</v>
      </c>
      <c r="H46" s="440">
        <v>4786</v>
      </c>
      <c r="I46" s="473">
        <v>44483</v>
      </c>
      <c r="J46" s="175">
        <v>50</v>
      </c>
      <c r="K46" s="440">
        <v>0.03</v>
      </c>
      <c r="L46" s="440">
        <v>0.03</v>
      </c>
      <c r="M46" s="381">
        <f t="shared" si="6"/>
        <v>50.000030000000002</v>
      </c>
      <c r="N46" s="382">
        <f t="shared" si="7"/>
        <v>50.000030000000002</v>
      </c>
      <c r="O46" s="477">
        <f t="shared" si="2"/>
        <v>0</v>
      </c>
      <c r="P46" s="175">
        <v>0.03</v>
      </c>
      <c r="Q46" s="501">
        <f t="shared" si="9"/>
        <v>0.88957844095478944</v>
      </c>
      <c r="R46" s="175" t="str">
        <f t="shared" si="8"/>
        <v>M-001</v>
      </c>
      <c r="S46" s="175" t="s">
        <v>63</v>
      </c>
      <c r="T46" s="872"/>
      <c r="U46" s="369">
        <v>30000</v>
      </c>
      <c r="V46" s="372">
        <v>12000</v>
      </c>
    </row>
    <row r="47" spans="2:22" ht="30" customHeight="1" x14ac:dyDescent="0.2">
      <c r="B47" s="880"/>
      <c r="C47" s="645" t="s">
        <v>78</v>
      </c>
      <c r="D47" s="175" t="s">
        <v>59</v>
      </c>
      <c r="E47" s="175" t="s">
        <v>60</v>
      </c>
      <c r="F47" s="175">
        <v>27129360</v>
      </c>
      <c r="G47" s="175" t="s">
        <v>79</v>
      </c>
      <c r="H47" s="440">
        <v>4786</v>
      </c>
      <c r="I47" s="473">
        <v>44483</v>
      </c>
      <c r="J47" s="175">
        <v>100</v>
      </c>
      <c r="K47" s="440">
        <v>0.06</v>
      </c>
      <c r="L47" s="440">
        <v>0.06</v>
      </c>
      <c r="M47" s="381">
        <f t="shared" si="6"/>
        <v>100.00006</v>
      </c>
      <c r="N47" s="382">
        <f t="shared" si="7"/>
        <v>100.00006</v>
      </c>
      <c r="O47" s="477">
        <f t="shared" si="2"/>
        <v>0</v>
      </c>
      <c r="P47" s="175">
        <v>0.05</v>
      </c>
      <c r="Q47" s="501">
        <f t="shared" si="9"/>
        <v>0.88957844095478944</v>
      </c>
      <c r="R47" s="175" t="str">
        <f t="shared" si="8"/>
        <v>M-001</v>
      </c>
      <c r="S47" s="175" t="s">
        <v>63</v>
      </c>
      <c r="T47" s="872"/>
      <c r="U47" s="369">
        <v>35000</v>
      </c>
      <c r="V47" s="509">
        <v>15000</v>
      </c>
    </row>
    <row r="48" spans="2:22" ht="30" customHeight="1" x14ac:dyDescent="0.2">
      <c r="B48" s="880"/>
      <c r="C48" s="645" t="s">
        <v>80</v>
      </c>
      <c r="D48" s="175" t="s">
        <v>59</v>
      </c>
      <c r="E48" s="175" t="s">
        <v>60</v>
      </c>
      <c r="F48" s="175">
        <v>27129360</v>
      </c>
      <c r="G48" s="175" t="s">
        <v>81</v>
      </c>
      <c r="H48" s="440">
        <v>4786</v>
      </c>
      <c r="I48" s="473">
        <v>44483</v>
      </c>
      <c r="J48" s="175">
        <v>200</v>
      </c>
      <c r="K48" s="440">
        <v>-7.0000000000000007E-2</v>
      </c>
      <c r="L48" s="440">
        <v>-0.05</v>
      </c>
      <c r="M48" s="381">
        <f t="shared" si="6"/>
        <v>199.99993000000001</v>
      </c>
      <c r="N48" s="382">
        <f t="shared" si="7"/>
        <v>199.99995000000001</v>
      </c>
      <c r="O48" s="477">
        <f t="shared" si="2"/>
        <v>1.1547005387457693E-2</v>
      </c>
      <c r="P48" s="370">
        <v>0.1</v>
      </c>
      <c r="Q48" s="501">
        <f t="shared" si="9"/>
        <v>0.88957844095478944</v>
      </c>
      <c r="R48" s="175" t="str">
        <f t="shared" si="8"/>
        <v>M-001</v>
      </c>
      <c r="S48" s="175" t="s">
        <v>63</v>
      </c>
      <c r="T48" s="872"/>
      <c r="U48" s="369">
        <v>40000</v>
      </c>
      <c r="V48" s="509">
        <v>20000</v>
      </c>
    </row>
    <row r="49" spans="2:22" ht="30" customHeight="1" x14ac:dyDescent="0.2">
      <c r="B49" s="880"/>
      <c r="C49" s="645" t="s">
        <v>82</v>
      </c>
      <c r="D49" s="175" t="s">
        <v>59</v>
      </c>
      <c r="E49" s="175" t="s">
        <v>60</v>
      </c>
      <c r="F49" s="175">
        <v>27129360</v>
      </c>
      <c r="G49" s="175" t="s">
        <v>83</v>
      </c>
      <c r="H49" s="440">
        <v>4786</v>
      </c>
      <c r="I49" s="473">
        <v>44483</v>
      </c>
      <c r="J49" s="175">
        <v>200</v>
      </c>
      <c r="K49" s="440">
        <v>0.15</v>
      </c>
      <c r="L49" s="440">
        <v>0.16</v>
      </c>
      <c r="M49" s="381">
        <f t="shared" si="6"/>
        <v>200.00014999999999</v>
      </c>
      <c r="N49" s="382">
        <f t="shared" si="7"/>
        <v>200.00015999999999</v>
      </c>
      <c r="O49" s="477">
        <f t="shared" si="2"/>
        <v>5.7735026937288467E-3</v>
      </c>
      <c r="P49" s="370">
        <v>0.1</v>
      </c>
      <c r="Q49" s="501">
        <f t="shared" si="9"/>
        <v>0.88957844095478944</v>
      </c>
      <c r="R49" s="175" t="str">
        <f t="shared" si="8"/>
        <v>M-001</v>
      </c>
      <c r="S49" s="175" t="s">
        <v>63</v>
      </c>
      <c r="T49" s="872"/>
      <c r="U49" s="369" t="s">
        <v>84</v>
      </c>
      <c r="V49" s="509">
        <v>25000</v>
      </c>
    </row>
    <row r="50" spans="2:22" ht="30" customHeight="1" x14ac:dyDescent="0.2">
      <c r="B50" s="880"/>
      <c r="C50" s="645" t="s">
        <v>85</v>
      </c>
      <c r="D50" s="175" t="s">
        <v>59</v>
      </c>
      <c r="E50" s="175" t="s">
        <v>60</v>
      </c>
      <c r="F50" s="175">
        <v>27129360</v>
      </c>
      <c r="G50" s="175" t="s">
        <v>86</v>
      </c>
      <c r="H50" s="440">
        <v>4786</v>
      </c>
      <c r="I50" s="473">
        <v>44483</v>
      </c>
      <c r="J50" s="175">
        <v>500</v>
      </c>
      <c r="K50" s="440">
        <v>0.33</v>
      </c>
      <c r="L50" s="440">
        <v>0.34</v>
      </c>
      <c r="M50" s="381">
        <f t="shared" si="6"/>
        <v>500.00033000000002</v>
      </c>
      <c r="N50" s="382">
        <f t="shared" si="7"/>
        <v>500.00033999999999</v>
      </c>
      <c r="O50" s="477">
        <f t="shared" si="2"/>
        <v>5.7735026773195657E-3</v>
      </c>
      <c r="P50" s="175">
        <v>0.25</v>
      </c>
      <c r="Q50" s="501">
        <f t="shared" si="9"/>
        <v>0.88957844095478944</v>
      </c>
      <c r="R50" s="175" t="str">
        <f t="shared" si="8"/>
        <v>M-001</v>
      </c>
      <c r="S50" s="175" t="s">
        <v>63</v>
      </c>
      <c r="T50" s="872"/>
      <c r="U50" s="369" t="s">
        <v>84</v>
      </c>
      <c r="V50" s="509">
        <v>30000</v>
      </c>
    </row>
    <row r="51" spans="2:22" ht="30" customHeight="1" x14ac:dyDescent="0.2">
      <c r="B51" s="880"/>
      <c r="C51" s="645" t="s">
        <v>87</v>
      </c>
      <c r="D51" s="175" t="s">
        <v>59</v>
      </c>
      <c r="E51" s="175" t="s">
        <v>60</v>
      </c>
      <c r="F51" s="175">
        <v>27129360</v>
      </c>
      <c r="G51" s="175" t="s">
        <v>88</v>
      </c>
      <c r="H51" s="440">
        <v>4786</v>
      </c>
      <c r="I51" s="473">
        <v>44483</v>
      </c>
      <c r="J51" s="369">
        <v>1000</v>
      </c>
      <c r="K51" s="440">
        <v>0.7</v>
      </c>
      <c r="L51" s="440">
        <v>0.7</v>
      </c>
      <c r="M51" s="381">
        <f t="shared" si="6"/>
        <v>1000.0007000000001</v>
      </c>
      <c r="N51" s="371">
        <f t="shared" si="7"/>
        <v>1000.0007000000001</v>
      </c>
      <c r="O51" s="477">
        <f t="shared" si="2"/>
        <v>0</v>
      </c>
      <c r="P51" s="175">
        <v>0.5</v>
      </c>
      <c r="Q51" s="501">
        <f t="shared" si="9"/>
        <v>0.88957844095478944</v>
      </c>
      <c r="R51" s="175" t="str">
        <f t="shared" si="8"/>
        <v>M-001</v>
      </c>
      <c r="S51" s="175" t="s">
        <v>63</v>
      </c>
      <c r="T51" s="872"/>
      <c r="U51" s="369" t="s">
        <v>84</v>
      </c>
      <c r="V51" s="509">
        <v>35000</v>
      </c>
    </row>
    <row r="52" spans="2:22" ht="30" customHeight="1" x14ac:dyDescent="0.2">
      <c r="B52" s="880"/>
      <c r="C52" s="645" t="s">
        <v>89</v>
      </c>
      <c r="D52" s="175" t="s">
        <v>59</v>
      </c>
      <c r="E52" s="175" t="s">
        <v>60</v>
      </c>
      <c r="F52" s="175">
        <v>27129360</v>
      </c>
      <c r="G52" s="175" t="s">
        <v>90</v>
      </c>
      <c r="H52" s="440">
        <v>4786</v>
      </c>
      <c r="I52" s="473">
        <v>44483</v>
      </c>
      <c r="J52" s="369">
        <v>2000</v>
      </c>
      <c r="K52" s="440">
        <v>1.1000000000000001</v>
      </c>
      <c r="L52" s="440">
        <v>1.1000000000000001</v>
      </c>
      <c r="M52" s="381">
        <f t="shared" si="6"/>
        <v>2000.0011</v>
      </c>
      <c r="N52" s="371">
        <f t="shared" si="7"/>
        <v>2000.0011</v>
      </c>
      <c r="O52" s="477">
        <f t="shared" si="2"/>
        <v>0</v>
      </c>
      <c r="P52" s="373">
        <v>1</v>
      </c>
      <c r="Q52" s="501">
        <f t="shared" si="9"/>
        <v>0.88957844095478944</v>
      </c>
      <c r="R52" s="175" t="str">
        <f t="shared" si="8"/>
        <v>M-001</v>
      </c>
      <c r="S52" s="175" t="s">
        <v>63</v>
      </c>
      <c r="T52" s="872"/>
      <c r="U52" s="369" t="s">
        <v>84</v>
      </c>
      <c r="V52" s="509">
        <v>40000</v>
      </c>
    </row>
    <row r="53" spans="2:22" ht="30" customHeight="1" x14ac:dyDescent="0.2">
      <c r="B53" s="880"/>
      <c r="C53" s="645" t="s">
        <v>91</v>
      </c>
      <c r="D53" s="175" t="s">
        <v>59</v>
      </c>
      <c r="E53" s="175" t="s">
        <v>60</v>
      </c>
      <c r="F53" s="175">
        <v>27129360</v>
      </c>
      <c r="G53" s="175" t="s">
        <v>92</v>
      </c>
      <c r="H53" s="440">
        <v>4786</v>
      </c>
      <c r="I53" s="473">
        <v>44483</v>
      </c>
      <c r="J53" s="369">
        <v>2000</v>
      </c>
      <c r="K53" s="440">
        <v>1</v>
      </c>
      <c r="L53" s="476">
        <v>1</v>
      </c>
      <c r="M53" s="381">
        <f t="shared" si="6"/>
        <v>2000.001</v>
      </c>
      <c r="N53" s="371">
        <f t="shared" si="7"/>
        <v>2000.001</v>
      </c>
      <c r="O53" s="477">
        <f t="shared" si="2"/>
        <v>0</v>
      </c>
      <c r="P53" s="373">
        <v>1</v>
      </c>
      <c r="Q53" s="501">
        <f t="shared" si="9"/>
        <v>0.88957844095478944</v>
      </c>
      <c r="R53" s="175" t="str">
        <f t="shared" si="8"/>
        <v>M-001</v>
      </c>
      <c r="S53" s="175" t="s">
        <v>63</v>
      </c>
      <c r="T53" s="872"/>
      <c r="U53" s="369" t="s">
        <v>84</v>
      </c>
      <c r="V53" s="509">
        <v>45000</v>
      </c>
    </row>
    <row r="54" spans="2:22" ht="30" customHeight="1" x14ac:dyDescent="0.2">
      <c r="B54" s="880"/>
      <c r="C54" s="645" t="s">
        <v>93</v>
      </c>
      <c r="D54" s="175" t="s">
        <v>59</v>
      </c>
      <c r="E54" s="175" t="s">
        <v>60</v>
      </c>
      <c r="F54" s="175">
        <v>27129360</v>
      </c>
      <c r="G54" s="175" t="s">
        <v>94</v>
      </c>
      <c r="H54" s="440">
        <v>4786</v>
      </c>
      <c r="I54" s="473">
        <v>44483</v>
      </c>
      <c r="J54" s="369">
        <v>5000</v>
      </c>
      <c r="K54" s="440">
        <v>3.5</v>
      </c>
      <c r="L54" s="440">
        <v>3.5</v>
      </c>
      <c r="M54" s="381">
        <f t="shared" si="6"/>
        <v>5000.0034999999998</v>
      </c>
      <c r="N54" s="371">
        <f t="shared" si="7"/>
        <v>5000.0034999999998</v>
      </c>
      <c r="O54" s="477">
        <f t="shared" si="2"/>
        <v>0</v>
      </c>
      <c r="P54" s="175">
        <v>2.5</v>
      </c>
      <c r="Q54" s="501">
        <f t="shared" si="9"/>
        <v>0.88957844095478944</v>
      </c>
      <c r="R54" s="175" t="str">
        <f t="shared" si="8"/>
        <v>M-001</v>
      </c>
      <c r="S54" s="175" t="s">
        <v>63</v>
      </c>
      <c r="T54" s="872"/>
      <c r="U54" s="369" t="s">
        <v>84</v>
      </c>
      <c r="V54" s="510">
        <v>50000</v>
      </c>
    </row>
    <row r="55" spans="2:22" ht="30" customHeight="1" thickBot="1" x14ac:dyDescent="0.25">
      <c r="B55" s="882"/>
      <c r="C55" s="659" t="s">
        <v>95</v>
      </c>
      <c r="D55" s="325" t="s">
        <v>59</v>
      </c>
      <c r="E55" s="325" t="s">
        <v>60</v>
      </c>
      <c r="F55" s="325">
        <v>27129360</v>
      </c>
      <c r="G55" s="325" t="s">
        <v>96</v>
      </c>
      <c r="H55" s="444">
        <v>4786</v>
      </c>
      <c r="I55" s="475">
        <v>44483</v>
      </c>
      <c r="J55" s="367">
        <v>10000</v>
      </c>
      <c r="K55" s="444">
        <v>8.1999999999999993</v>
      </c>
      <c r="L55" s="444">
        <v>8.4</v>
      </c>
      <c r="M55" s="489">
        <f t="shared" si="6"/>
        <v>10000.0082</v>
      </c>
      <c r="N55" s="374">
        <f t="shared" si="7"/>
        <v>10000.008400000001</v>
      </c>
      <c r="O55" s="495">
        <f t="shared" si="2"/>
        <v>0.11547005407148832</v>
      </c>
      <c r="P55" s="379">
        <v>5</v>
      </c>
      <c r="Q55" s="502">
        <f t="shared" si="9"/>
        <v>0.88957844095478944</v>
      </c>
      <c r="R55" s="325" t="str">
        <f t="shared" si="8"/>
        <v>M-001</v>
      </c>
      <c r="S55" s="325" t="s">
        <v>63</v>
      </c>
      <c r="T55" s="873"/>
      <c r="U55" s="367" t="s">
        <v>84</v>
      </c>
      <c r="V55" s="493">
        <v>55000</v>
      </c>
    </row>
    <row r="56" spans="2:22" ht="30" customHeight="1" x14ac:dyDescent="0.2">
      <c r="B56" s="880" t="s">
        <v>97</v>
      </c>
      <c r="C56" s="658" t="s">
        <v>98</v>
      </c>
      <c r="D56" s="324" t="s">
        <v>99</v>
      </c>
      <c r="E56" s="324" t="s">
        <v>100</v>
      </c>
      <c r="F56" s="324">
        <v>11119515</v>
      </c>
      <c r="G56" s="324">
        <v>1</v>
      </c>
      <c r="H56" s="437">
        <v>5701</v>
      </c>
      <c r="I56" s="474">
        <v>44559</v>
      </c>
      <c r="J56" s="368">
        <v>1</v>
      </c>
      <c r="K56" s="437">
        <v>0.04</v>
      </c>
      <c r="L56" s="437">
        <v>0.04</v>
      </c>
      <c r="M56" s="324">
        <f t="shared" si="6"/>
        <v>1.00004</v>
      </c>
      <c r="N56" s="385">
        <f t="shared" si="7"/>
        <v>1.00004</v>
      </c>
      <c r="O56" s="494">
        <f t="shared" si="2"/>
        <v>0</v>
      </c>
      <c r="P56" s="324">
        <v>0.03</v>
      </c>
      <c r="Q56" s="500">
        <f>(0.34848*((750.7+754.5)/2)-0.009024*((52.2+58.7)/2)*EXP(0.0612*((20+20.6)/2)))/(273.15+((20+20.6)/2))</f>
        <v>0.88782702273489045</v>
      </c>
      <c r="R56" s="324" t="s">
        <v>101</v>
      </c>
      <c r="S56" s="324" t="s">
        <v>63</v>
      </c>
      <c r="T56" s="871">
        <v>2</v>
      </c>
      <c r="U56" s="368" t="s">
        <v>84</v>
      </c>
      <c r="V56" s="492">
        <v>60000</v>
      </c>
    </row>
    <row r="57" spans="2:22" ht="30" customHeight="1" x14ac:dyDescent="0.2">
      <c r="B57" s="880"/>
      <c r="C57" s="645" t="s">
        <v>102</v>
      </c>
      <c r="D57" s="175" t="s">
        <v>99</v>
      </c>
      <c r="E57" s="175" t="s">
        <v>100</v>
      </c>
      <c r="F57" s="175">
        <v>11119515</v>
      </c>
      <c r="G57" s="175" t="s">
        <v>103</v>
      </c>
      <c r="H57" s="440">
        <v>5701</v>
      </c>
      <c r="I57" s="473">
        <v>44559</v>
      </c>
      <c r="J57" s="369">
        <v>2</v>
      </c>
      <c r="K57" s="440">
        <v>0.04</v>
      </c>
      <c r="L57" s="440">
        <v>0.04</v>
      </c>
      <c r="M57" s="175">
        <f t="shared" si="6"/>
        <v>2.0000399999999998</v>
      </c>
      <c r="N57" s="382">
        <f t="shared" si="7"/>
        <v>2.0000399999999998</v>
      </c>
      <c r="O57" s="477">
        <f t="shared" si="2"/>
        <v>0</v>
      </c>
      <c r="P57" s="175">
        <v>0.04</v>
      </c>
      <c r="Q57" s="501">
        <f>(0.34848*((750.7+753.7)/2)-0.009*((50.2+54.2)/2)*EXP(0.0612*((21.9+23.1)/2)))/(273.15+((21.9+23.1)/2))</f>
        <v>0.88031402349675059</v>
      </c>
      <c r="R57" s="175" t="str">
        <f t="shared" ref="R57:R71" si="10">R56</f>
        <v>M-002</v>
      </c>
      <c r="S57" s="175" t="s">
        <v>63</v>
      </c>
      <c r="T57" s="872"/>
      <c r="U57" s="369" t="s">
        <v>84</v>
      </c>
      <c r="V57" s="510" t="s">
        <v>84</v>
      </c>
    </row>
    <row r="58" spans="2:22" ht="30" customHeight="1" x14ac:dyDescent="0.2">
      <c r="B58" s="880"/>
      <c r="C58" s="645" t="s">
        <v>104</v>
      </c>
      <c r="D58" s="175" t="s">
        <v>99</v>
      </c>
      <c r="E58" s="175" t="s">
        <v>100</v>
      </c>
      <c r="F58" s="175">
        <v>11119515</v>
      </c>
      <c r="G58" s="175">
        <v>2</v>
      </c>
      <c r="H58" s="440">
        <v>5701</v>
      </c>
      <c r="I58" s="473">
        <v>44559</v>
      </c>
      <c r="J58" s="369">
        <v>2</v>
      </c>
      <c r="K58" s="440">
        <v>0.06</v>
      </c>
      <c r="L58" s="440">
        <v>0.05</v>
      </c>
      <c r="M58" s="175">
        <f t="shared" si="6"/>
        <v>2.0000599999999999</v>
      </c>
      <c r="N58" s="382">
        <f t="shared" si="7"/>
        <v>2.0000499999999999</v>
      </c>
      <c r="O58" s="477">
        <f t="shared" si="2"/>
        <v>5.773502691934081E-3</v>
      </c>
      <c r="P58" s="175">
        <v>0.04</v>
      </c>
      <c r="Q58" s="501">
        <f t="shared" ref="Q58:Q71" si="11">(0.34848*((750.7+753.7)/2)-0.009*((50.2+54.2)/2)*EXP(0.0612*((21.9+23.1)/2)))/(273.15+((21.9+23.1)/2))</f>
        <v>0.88031402349675059</v>
      </c>
      <c r="R58" s="175" t="str">
        <f t="shared" si="10"/>
        <v>M-002</v>
      </c>
      <c r="S58" s="175" t="s">
        <v>63</v>
      </c>
      <c r="T58" s="872"/>
      <c r="U58" s="369" t="s">
        <v>84</v>
      </c>
      <c r="V58" s="510" t="s">
        <v>84</v>
      </c>
    </row>
    <row r="59" spans="2:22" ht="30" customHeight="1" x14ac:dyDescent="0.2">
      <c r="B59" s="880"/>
      <c r="C59" s="645" t="s">
        <v>105</v>
      </c>
      <c r="D59" s="175" t="s">
        <v>99</v>
      </c>
      <c r="E59" s="175" t="s">
        <v>100</v>
      </c>
      <c r="F59" s="175">
        <v>11119515</v>
      </c>
      <c r="G59" s="175">
        <v>5</v>
      </c>
      <c r="H59" s="440">
        <v>5701</v>
      </c>
      <c r="I59" s="473">
        <v>44559</v>
      </c>
      <c r="J59" s="175">
        <v>5</v>
      </c>
      <c r="K59" s="440">
        <v>0.01</v>
      </c>
      <c r="L59" s="491">
        <v>0.06</v>
      </c>
      <c r="M59" s="175">
        <f t="shared" si="6"/>
        <v>5.0000099999999996</v>
      </c>
      <c r="N59" s="382">
        <f t="shared" si="7"/>
        <v>5.0000600000000004</v>
      </c>
      <c r="O59" s="477">
        <f t="shared" si="2"/>
        <v>2.8867513459926802E-2</v>
      </c>
      <c r="P59" s="175">
        <v>0.05</v>
      </c>
      <c r="Q59" s="501">
        <f t="shared" si="11"/>
        <v>0.88031402349675059</v>
      </c>
      <c r="R59" s="175" t="str">
        <f t="shared" si="10"/>
        <v>M-002</v>
      </c>
      <c r="S59" s="175" t="s">
        <v>63</v>
      </c>
      <c r="T59" s="872"/>
      <c r="U59" s="369" t="s">
        <v>84</v>
      </c>
      <c r="V59" s="510" t="s">
        <v>84</v>
      </c>
    </row>
    <row r="60" spans="2:22" ht="30" customHeight="1" x14ac:dyDescent="0.2">
      <c r="B60" s="880"/>
      <c r="C60" s="645" t="s">
        <v>106</v>
      </c>
      <c r="D60" s="175" t="s">
        <v>99</v>
      </c>
      <c r="E60" s="175" t="s">
        <v>100</v>
      </c>
      <c r="F60" s="175">
        <v>11119515</v>
      </c>
      <c r="G60" s="175">
        <v>10</v>
      </c>
      <c r="H60" s="440">
        <v>5701</v>
      </c>
      <c r="I60" s="473">
        <v>44559</v>
      </c>
      <c r="J60" s="175">
        <v>10</v>
      </c>
      <c r="K60" s="440">
        <v>7.0000000000000007E-2</v>
      </c>
      <c r="L60" s="440">
        <v>0</v>
      </c>
      <c r="M60" s="175">
        <f t="shared" si="6"/>
        <v>10.000069999999999</v>
      </c>
      <c r="N60" s="382">
        <f t="shared" si="7"/>
        <v>10</v>
      </c>
      <c r="O60" s="477">
        <f t="shared" si="2"/>
        <v>4.0414518842769385E-2</v>
      </c>
      <c r="P60" s="175">
        <v>0.06</v>
      </c>
      <c r="Q60" s="501">
        <f t="shared" si="11"/>
        <v>0.88031402349675059</v>
      </c>
      <c r="R60" s="175" t="str">
        <f t="shared" si="10"/>
        <v>M-002</v>
      </c>
      <c r="S60" s="175" t="s">
        <v>63</v>
      </c>
      <c r="T60" s="872"/>
      <c r="U60" s="369" t="s">
        <v>84</v>
      </c>
      <c r="V60" s="510" t="s">
        <v>84</v>
      </c>
    </row>
    <row r="61" spans="2:22" ht="30" customHeight="1" x14ac:dyDescent="0.2">
      <c r="B61" s="880"/>
      <c r="C61" s="645" t="s">
        <v>107</v>
      </c>
      <c r="D61" s="175" t="s">
        <v>99</v>
      </c>
      <c r="E61" s="175" t="s">
        <v>100</v>
      </c>
      <c r="F61" s="175">
        <v>11119515</v>
      </c>
      <c r="G61" s="175" t="s">
        <v>108</v>
      </c>
      <c r="H61" s="440">
        <v>5701</v>
      </c>
      <c r="I61" s="473">
        <v>44559</v>
      </c>
      <c r="J61" s="175">
        <v>20</v>
      </c>
      <c r="K61" s="440">
        <v>0.08</v>
      </c>
      <c r="L61" s="440">
        <v>7.0000000000000007E-2</v>
      </c>
      <c r="M61" s="175">
        <f t="shared" si="6"/>
        <v>20.000080000000001</v>
      </c>
      <c r="N61" s="382">
        <f t="shared" si="7"/>
        <v>20.000070000000001</v>
      </c>
      <c r="O61" s="477">
        <f t="shared" si="2"/>
        <v>5.7735026916776863E-3</v>
      </c>
      <c r="P61" s="175">
        <v>0.08</v>
      </c>
      <c r="Q61" s="501">
        <f t="shared" si="11"/>
        <v>0.88031402349675059</v>
      </c>
      <c r="R61" s="175" t="str">
        <f t="shared" si="10"/>
        <v>M-002</v>
      </c>
      <c r="S61" s="175" t="s">
        <v>63</v>
      </c>
      <c r="T61" s="872"/>
      <c r="U61" s="369" t="s">
        <v>84</v>
      </c>
      <c r="V61" s="510" t="s">
        <v>84</v>
      </c>
    </row>
    <row r="62" spans="2:22" ht="30" customHeight="1" x14ac:dyDescent="0.2">
      <c r="B62" s="880"/>
      <c r="C62" s="645" t="s">
        <v>109</v>
      </c>
      <c r="D62" s="175" t="s">
        <v>99</v>
      </c>
      <c r="E62" s="175" t="s">
        <v>100</v>
      </c>
      <c r="F62" s="175">
        <v>11119515</v>
      </c>
      <c r="G62" s="175">
        <v>20</v>
      </c>
      <c r="H62" s="440">
        <v>5701</v>
      </c>
      <c r="I62" s="473">
        <v>44559</v>
      </c>
      <c r="J62" s="175">
        <v>20</v>
      </c>
      <c r="K62" s="440">
        <v>7.0000000000000007E-2</v>
      </c>
      <c r="L62" s="440">
        <v>0.09</v>
      </c>
      <c r="M62" s="175">
        <f t="shared" si="6"/>
        <v>20.000070000000001</v>
      </c>
      <c r="N62" s="382">
        <f t="shared" si="7"/>
        <v>20.00009</v>
      </c>
      <c r="O62" s="477">
        <f t="shared" si="2"/>
        <v>1.1547005383355373E-2</v>
      </c>
      <c r="P62" s="175">
        <v>0.08</v>
      </c>
      <c r="Q62" s="501">
        <f t="shared" si="11"/>
        <v>0.88031402349675059</v>
      </c>
      <c r="R62" s="175" t="str">
        <f t="shared" si="10"/>
        <v>M-002</v>
      </c>
      <c r="S62" s="175" t="s">
        <v>63</v>
      </c>
      <c r="T62" s="872"/>
      <c r="U62" s="369" t="s">
        <v>84</v>
      </c>
      <c r="V62" s="510" t="s">
        <v>84</v>
      </c>
    </row>
    <row r="63" spans="2:22" ht="30" customHeight="1" x14ac:dyDescent="0.2">
      <c r="B63" s="880"/>
      <c r="C63" s="645" t="s">
        <v>110</v>
      </c>
      <c r="D63" s="175" t="s">
        <v>99</v>
      </c>
      <c r="E63" s="175" t="s">
        <v>100</v>
      </c>
      <c r="F63" s="175">
        <v>11119515</v>
      </c>
      <c r="G63" s="175">
        <v>50</v>
      </c>
      <c r="H63" s="440">
        <v>5701</v>
      </c>
      <c r="I63" s="473">
        <v>44559</v>
      </c>
      <c r="J63" s="175">
        <v>50</v>
      </c>
      <c r="K63" s="440">
        <v>0.13</v>
      </c>
      <c r="L63" s="440">
        <v>7.0000000000000007E-2</v>
      </c>
      <c r="M63" s="175">
        <f t="shared" si="6"/>
        <v>50.000129999999999</v>
      </c>
      <c r="N63" s="382">
        <f t="shared" si="7"/>
        <v>50.000070000000001</v>
      </c>
      <c r="O63" s="477">
        <f t="shared" si="2"/>
        <v>3.4641016150066116E-2</v>
      </c>
      <c r="P63" s="370">
        <v>0.1</v>
      </c>
      <c r="Q63" s="501">
        <f t="shared" si="11"/>
        <v>0.88031402349675059</v>
      </c>
      <c r="R63" s="175" t="str">
        <f t="shared" si="10"/>
        <v>M-002</v>
      </c>
      <c r="S63" s="175" t="s">
        <v>63</v>
      </c>
      <c r="T63" s="872"/>
      <c r="U63" s="369" t="s">
        <v>84</v>
      </c>
      <c r="V63" s="510" t="s">
        <v>84</v>
      </c>
    </row>
    <row r="64" spans="2:22" ht="30" customHeight="1" x14ac:dyDescent="0.2">
      <c r="B64" s="880"/>
      <c r="C64" s="645" t="s">
        <v>111</v>
      </c>
      <c r="D64" s="175" t="s">
        <v>99</v>
      </c>
      <c r="E64" s="175" t="s">
        <v>100</v>
      </c>
      <c r="F64" s="175">
        <v>11119515</v>
      </c>
      <c r="G64" s="175">
        <v>100</v>
      </c>
      <c r="H64" s="440">
        <v>5701</v>
      </c>
      <c r="I64" s="473">
        <v>44559</v>
      </c>
      <c r="J64" s="175">
        <v>100</v>
      </c>
      <c r="K64" s="440">
        <v>0.14000000000000001</v>
      </c>
      <c r="L64" s="440">
        <v>0.13</v>
      </c>
      <c r="M64" s="175">
        <f t="shared" si="6"/>
        <v>100.00014</v>
      </c>
      <c r="N64" s="382">
        <f t="shared" si="7"/>
        <v>100.00013</v>
      </c>
      <c r="O64" s="477">
        <f t="shared" si="2"/>
        <v>5.7735026937288467E-3</v>
      </c>
      <c r="P64" s="175">
        <v>0.16</v>
      </c>
      <c r="Q64" s="501">
        <f t="shared" si="11"/>
        <v>0.88031402349675059</v>
      </c>
      <c r="R64" s="175" t="str">
        <f t="shared" si="10"/>
        <v>M-002</v>
      </c>
      <c r="S64" s="175" t="s">
        <v>63</v>
      </c>
      <c r="T64" s="872"/>
      <c r="U64" s="369" t="s">
        <v>84</v>
      </c>
      <c r="V64" s="510" t="s">
        <v>84</v>
      </c>
    </row>
    <row r="65" spans="2:50" ht="30" customHeight="1" x14ac:dyDescent="0.2">
      <c r="B65" s="880"/>
      <c r="C65" s="645" t="s">
        <v>112</v>
      </c>
      <c r="D65" s="175" t="s">
        <v>99</v>
      </c>
      <c r="E65" s="175" t="s">
        <v>100</v>
      </c>
      <c r="F65" s="175">
        <v>11119515</v>
      </c>
      <c r="G65" s="175" t="s">
        <v>113</v>
      </c>
      <c r="H65" s="440">
        <v>5701</v>
      </c>
      <c r="I65" s="473">
        <v>44559</v>
      </c>
      <c r="J65" s="175">
        <v>200</v>
      </c>
      <c r="K65" s="440">
        <v>0.3</v>
      </c>
      <c r="L65" s="440">
        <v>0.14000000000000001</v>
      </c>
      <c r="M65" s="175">
        <f t="shared" si="6"/>
        <v>200.00030000000001</v>
      </c>
      <c r="N65" s="371">
        <f t="shared" si="7"/>
        <v>200.00013999999999</v>
      </c>
      <c r="O65" s="477">
        <f t="shared" si="2"/>
        <v>9.2376043083252271E-2</v>
      </c>
      <c r="P65" s="175">
        <v>0.3</v>
      </c>
      <c r="Q65" s="501">
        <f t="shared" si="11"/>
        <v>0.88031402349675059</v>
      </c>
      <c r="R65" s="175" t="str">
        <f t="shared" si="10"/>
        <v>M-002</v>
      </c>
      <c r="S65" s="175" t="s">
        <v>63</v>
      </c>
      <c r="T65" s="872"/>
      <c r="U65" s="369" t="s">
        <v>84</v>
      </c>
      <c r="V65" s="510" t="s">
        <v>84</v>
      </c>
    </row>
    <row r="66" spans="2:50" ht="30" customHeight="1" x14ac:dyDescent="0.2">
      <c r="B66" s="880"/>
      <c r="C66" s="645" t="s">
        <v>114</v>
      </c>
      <c r="D66" s="175" t="s">
        <v>99</v>
      </c>
      <c r="E66" s="175" t="s">
        <v>100</v>
      </c>
      <c r="F66" s="175">
        <v>11119515</v>
      </c>
      <c r="G66" s="175">
        <v>200</v>
      </c>
      <c r="H66" s="440">
        <v>5701</v>
      </c>
      <c r="I66" s="473">
        <v>44559</v>
      </c>
      <c r="J66" s="175">
        <v>200</v>
      </c>
      <c r="K66" s="440">
        <v>0.2</v>
      </c>
      <c r="L66" s="440">
        <v>0.3</v>
      </c>
      <c r="M66" s="175">
        <f t="shared" si="6"/>
        <v>200.00020000000001</v>
      </c>
      <c r="N66" s="371">
        <f t="shared" si="7"/>
        <v>200.00030000000001</v>
      </c>
      <c r="O66" s="477">
        <f t="shared" si="2"/>
        <v>5.773502692087918E-2</v>
      </c>
      <c r="P66" s="175">
        <v>0.3</v>
      </c>
      <c r="Q66" s="501">
        <f t="shared" si="11"/>
        <v>0.88031402349675059</v>
      </c>
      <c r="R66" s="175" t="str">
        <f t="shared" si="10"/>
        <v>M-002</v>
      </c>
      <c r="S66" s="175" t="s">
        <v>63</v>
      </c>
      <c r="T66" s="872"/>
      <c r="U66" s="369" t="s">
        <v>84</v>
      </c>
      <c r="V66" s="510" t="s">
        <v>84</v>
      </c>
    </row>
    <row r="67" spans="2:50" ht="30" customHeight="1" x14ac:dyDescent="0.2">
      <c r="B67" s="880"/>
      <c r="C67" s="645" t="s">
        <v>115</v>
      </c>
      <c r="D67" s="175" t="s">
        <v>99</v>
      </c>
      <c r="E67" s="175" t="s">
        <v>100</v>
      </c>
      <c r="F67" s="175">
        <v>11119515</v>
      </c>
      <c r="G67" s="175">
        <v>500</v>
      </c>
      <c r="H67" s="440">
        <v>5701</v>
      </c>
      <c r="I67" s="473">
        <v>44559</v>
      </c>
      <c r="J67" s="175">
        <v>500</v>
      </c>
      <c r="K67" s="440">
        <v>0.8</v>
      </c>
      <c r="L67" s="440">
        <v>0.2</v>
      </c>
      <c r="M67" s="175">
        <f t="shared" si="6"/>
        <v>500.00080000000003</v>
      </c>
      <c r="N67" s="371">
        <f t="shared" si="7"/>
        <v>500.00020000000001</v>
      </c>
      <c r="O67" s="477">
        <f t="shared" si="2"/>
        <v>0.3464101615252751</v>
      </c>
      <c r="P67" s="175">
        <v>0.8</v>
      </c>
      <c r="Q67" s="501">
        <f t="shared" si="11"/>
        <v>0.88031402349675059</v>
      </c>
      <c r="R67" s="175" t="str">
        <f t="shared" si="10"/>
        <v>M-002</v>
      </c>
      <c r="S67" s="175" t="s">
        <v>63</v>
      </c>
      <c r="T67" s="872"/>
      <c r="U67" s="369" t="s">
        <v>84</v>
      </c>
      <c r="V67" s="510" t="s">
        <v>84</v>
      </c>
      <c r="AJ67" s="49"/>
      <c r="AK67" s="49"/>
      <c r="AQ67" s="49"/>
      <c r="AR67" s="49"/>
    </row>
    <row r="68" spans="2:50" ht="30" customHeight="1" x14ac:dyDescent="0.2">
      <c r="B68" s="880"/>
      <c r="C68" s="645" t="s">
        <v>116</v>
      </c>
      <c r="D68" s="175" t="s">
        <v>99</v>
      </c>
      <c r="E68" s="175" t="s">
        <v>100</v>
      </c>
      <c r="F68" s="175">
        <v>11119515</v>
      </c>
      <c r="G68" s="175">
        <v>1</v>
      </c>
      <c r="H68" s="440">
        <v>5701</v>
      </c>
      <c r="I68" s="473">
        <v>44559</v>
      </c>
      <c r="J68" s="369">
        <v>1000</v>
      </c>
      <c r="K68" s="440">
        <v>1.9</v>
      </c>
      <c r="L68" s="440">
        <v>0.8</v>
      </c>
      <c r="M68" s="175">
        <f t="shared" si="6"/>
        <v>1000.0019</v>
      </c>
      <c r="N68" s="371">
        <f t="shared" si="7"/>
        <v>1000.0008</v>
      </c>
      <c r="O68" s="477">
        <f t="shared" si="2"/>
        <v>0.63508529608044317</v>
      </c>
      <c r="P68" s="175">
        <v>1.6</v>
      </c>
      <c r="Q68" s="501">
        <f t="shared" si="11"/>
        <v>0.88031402349675059</v>
      </c>
      <c r="R68" s="175" t="str">
        <f t="shared" si="10"/>
        <v>M-002</v>
      </c>
      <c r="S68" s="175" t="s">
        <v>63</v>
      </c>
      <c r="T68" s="872"/>
      <c r="U68" s="369" t="s">
        <v>84</v>
      </c>
      <c r="V68" s="510" t="s">
        <v>84</v>
      </c>
      <c r="AJ68" s="50"/>
      <c r="AK68" s="50"/>
      <c r="AQ68" s="50"/>
      <c r="AR68" s="50"/>
      <c r="AS68" s="50"/>
      <c r="AT68" s="50"/>
      <c r="AU68" s="50"/>
      <c r="AV68" s="50"/>
      <c r="AW68" s="50"/>
      <c r="AX68" s="50"/>
    </row>
    <row r="69" spans="2:50" ht="30" customHeight="1" x14ac:dyDescent="0.2">
      <c r="B69" s="880"/>
      <c r="C69" s="645" t="s">
        <v>117</v>
      </c>
      <c r="D69" s="175" t="s">
        <v>99</v>
      </c>
      <c r="E69" s="175" t="s">
        <v>100</v>
      </c>
      <c r="F69" s="175">
        <v>11119515</v>
      </c>
      <c r="G69" s="175" t="s">
        <v>103</v>
      </c>
      <c r="H69" s="440">
        <v>5701</v>
      </c>
      <c r="I69" s="473">
        <v>44559</v>
      </c>
      <c r="J69" s="369">
        <v>2000</v>
      </c>
      <c r="K69" s="440">
        <v>1.9</v>
      </c>
      <c r="L69" s="476">
        <v>1.9</v>
      </c>
      <c r="M69" s="175">
        <f t="shared" si="6"/>
        <v>2000.0019</v>
      </c>
      <c r="N69" s="371">
        <f t="shared" si="7"/>
        <v>2000.0019</v>
      </c>
      <c r="O69" s="477">
        <f t="shared" si="2"/>
        <v>0</v>
      </c>
      <c r="P69" s="373">
        <v>3</v>
      </c>
      <c r="Q69" s="501">
        <f t="shared" si="11"/>
        <v>0.88031402349675059</v>
      </c>
      <c r="R69" s="175" t="str">
        <f t="shared" si="10"/>
        <v>M-002</v>
      </c>
      <c r="S69" s="175" t="s">
        <v>63</v>
      </c>
      <c r="T69" s="872"/>
      <c r="U69" s="369" t="s">
        <v>84</v>
      </c>
      <c r="V69" s="510" t="s">
        <v>84</v>
      </c>
      <c r="AJ69" s="50"/>
      <c r="AK69" s="50"/>
      <c r="AQ69" s="50"/>
      <c r="AR69" s="50"/>
      <c r="AS69" s="50"/>
      <c r="AT69" s="50"/>
      <c r="AU69" s="50"/>
      <c r="AV69" s="50"/>
      <c r="AW69" s="50"/>
      <c r="AX69" s="50"/>
    </row>
    <row r="70" spans="2:50" ht="30" customHeight="1" x14ac:dyDescent="0.2">
      <c r="B70" s="880"/>
      <c r="C70" s="645" t="s">
        <v>118</v>
      </c>
      <c r="D70" s="175" t="s">
        <v>99</v>
      </c>
      <c r="E70" s="175" t="s">
        <v>100</v>
      </c>
      <c r="F70" s="175">
        <v>11119515</v>
      </c>
      <c r="G70" s="175">
        <v>2</v>
      </c>
      <c r="H70" s="440">
        <v>5701</v>
      </c>
      <c r="I70" s="473">
        <v>44559</v>
      </c>
      <c r="J70" s="369">
        <v>2000</v>
      </c>
      <c r="K70" s="476">
        <v>2.1</v>
      </c>
      <c r="L70" s="476">
        <v>1.9</v>
      </c>
      <c r="M70" s="175">
        <f t="shared" si="6"/>
        <v>2000.0020999999999</v>
      </c>
      <c r="N70" s="371">
        <f t="shared" si="7"/>
        <v>2000.0019</v>
      </c>
      <c r="O70" s="477">
        <f t="shared" si="2"/>
        <v>0.11547005380893981</v>
      </c>
      <c r="P70" s="373">
        <v>3</v>
      </c>
      <c r="Q70" s="501">
        <f t="shared" si="11"/>
        <v>0.88031402349675059</v>
      </c>
      <c r="R70" s="175" t="str">
        <f t="shared" si="10"/>
        <v>M-002</v>
      </c>
      <c r="S70" s="175" t="s">
        <v>63</v>
      </c>
      <c r="T70" s="872"/>
      <c r="U70" s="369" t="s">
        <v>84</v>
      </c>
      <c r="V70" s="510" t="s">
        <v>84</v>
      </c>
      <c r="AJ70" s="50"/>
      <c r="AK70" s="50"/>
      <c r="AQ70" s="50"/>
      <c r="AR70" s="50"/>
      <c r="AS70" s="50"/>
      <c r="AT70" s="50"/>
      <c r="AU70" s="50"/>
      <c r="AV70" s="50"/>
      <c r="AW70" s="50"/>
      <c r="AX70" s="50"/>
    </row>
    <row r="71" spans="2:50" ht="30" customHeight="1" thickBot="1" x14ac:dyDescent="0.25">
      <c r="B71" s="880"/>
      <c r="C71" s="659" t="s">
        <v>119</v>
      </c>
      <c r="D71" s="325" t="s">
        <v>99</v>
      </c>
      <c r="E71" s="325" t="s">
        <v>100</v>
      </c>
      <c r="F71" s="325">
        <v>11119515</v>
      </c>
      <c r="G71" s="325">
        <v>5</v>
      </c>
      <c r="H71" s="444">
        <v>5701</v>
      </c>
      <c r="I71" s="475">
        <v>44559</v>
      </c>
      <c r="J71" s="367">
        <v>5000</v>
      </c>
      <c r="K71" s="444">
        <v>5.8</v>
      </c>
      <c r="L71" s="444">
        <v>2.1</v>
      </c>
      <c r="M71" s="325">
        <f t="shared" ref="M71:M91" si="12">J71+(K71)/1000</f>
        <v>5000.0057999999999</v>
      </c>
      <c r="N71" s="374">
        <f t="shared" ref="N71:N92" si="13">J71+(L71)/1000</f>
        <v>5000.0020999999997</v>
      </c>
      <c r="O71" s="495">
        <f t="shared" si="2"/>
        <v>2.1361959961217574</v>
      </c>
      <c r="P71" s="379">
        <v>8</v>
      </c>
      <c r="Q71" s="502">
        <f t="shared" si="11"/>
        <v>0.88031402349675059</v>
      </c>
      <c r="R71" s="325" t="str">
        <f t="shared" si="10"/>
        <v>M-002</v>
      </c>
      <c r="S71" s="325" t="s">
        <v>63</v>
      </c>
      <c r="T71" s="873"/>
      <c r="U71" s="367" t="s">
        <v>84</v>
      </c>
      <c r="V71" s="493" t="s">
        <v>84</v>
      </c>
      <c r="AJ71" s="50"/>
      <c r="AK71" s="50"/>
      <c r="AQ71" s="50"/>
      <c r="AR71" s="50"/>
      <c r="AS71" s="50"/>
      <c r="AT71" s="50"/>
      <c r="AU71" s="50"/>
      <c r="AV71" s="50"/>
      <c r="AW71" s="50"/>
      <c r="AX71" s="50"/>
    </row>
    <row r="72" spans="2:50" ht="30" customHeight="1" thickBot="1" x14ac:dyDescent="0.25">
      <c r="B72" s="679" t="s">
        <v>120</v>
      </c>
      <c r="C72" s="658" t="s">
        <v>121</v>
      </c>
      <c r="D72" s="324" t="s">
        <v>99</v>
      </c>
      <c r="E72" s="324" t="s">
        <v>100</v>
      </c>
      <c r="F72" s="324">
        <v>11119467</v>
      </c>
      <c r="G72" s="324">
        <v>10</v>
      </c>
      <c r="H72" s="437">
        <v>5259</v>
      </c>
      <c r="I72" s="474">
        <v>44347</v>
      </c>
      <c r="J72" s="368">
        <v>10000</v>
      </c>
      <c r="K72" s="437">
        <v>7</v>
      </c>
      <c r="L72" s="437">
        <v>5.9</v>
      </c>
      <c r="M72" s="324">
        <f t="shared" si="12"/>
        <v>10000.007</v>
      </c>
      <c r="N72" s="376">
        <f t="shared" si="13"/>
        <v>10000.0059</v>
      </c>
      <c r="O72" s="494">
        <f t="shared" si="2"/>
        <v>0.63508529581789464</v>
      </c>
      <c r="P72" s="324">
        <v>16</v>
      </c>
      <c r="Q72" s="500">
        <f>(0.34848*((753.6+754.6)/2)-0.009*((54.8+55)/2)*EXP(0.0612*((21.6+21.7)/2)))/(273.15+((21.6+21.7)/2))</f>
        <v>0.88510824081966932</v>
      </c>
      <c r="R72" s="324" t="s">
        <v>122</v>
      </c>
      <c r="S72" s="324" t="s">
        <v>63</v>
      </c>
      <c r="T72" s="660">
        <v>2</v>
      </c>
      <c r="U72" s="368" t="s">
        <v>84</v>
      </c>
      <c r="V72" s="492" t="s">
        <v>84</v>
      </c>
      <c r="AJ72" s="50"/>
      <c r="AK72" s="50"/>
      <c r="AQ72" s="50"/>
      <c r="AR72" s="50"/>
      <c r="AS72" s="50"/>
      <c r="AT72" s="50"/>
      <c r="AU72" s="50"/>
      <c r="AV72" s="50"/>
      <c r="AW72" s="50"/>
      <c r="AX72" s="50"/>
    </row>
    <row r="73" spans="2:50" ht="30" customHeight="1" thickBot="1" x14ac:dyDescent="0.25">
      <c r="B73" s="679" t="s">
        <v>123</v>
      </c>
      <c r="C73" s="659" t="s">
        <v>124</v>
      </c>
      <c r="D73" s="325" t="s">
        <v>99</v>
      </c>
      <c r="E73" s="325" t="s">
        <v>100</v>
      </c>
      <c r="F73" s="325">
        <v>11119468</v>
      </c>
      <c r="G73" s="325">
        <v>20</v>
      </c>
      <c r="H73" s="444">
        <v>5488</v>
      </c>
      <c r="I73" s="475">
        <v>44476</v>
      </c>
      <c r="J73" s="367">
        <v>20000</v>
      </c>
      <c r="K73" s="444">
        <v>-4</v>
      </c>
      <c r="L73" s="444">
        <v>-6</v>
      </c>
      <c r="M73" s="325">
        <f t="shared" si="12"/>
        <v>19999.995999999999</v>
      </c>
      <c r="N73" s="661">
        <f t="shared" si="13"/>
        <v>19999.993999999999</v>
      </c>
      <c r="O73" s="495">
        <f t="shared" si="2"/>
        <v>1.1547005386144951</v>
      </c>
      <c r="P73" s="325">
        <v>30</v>
      </c>
      <c r="Q73" s="502">
        <f>(0.34848*((749.2+749.3)/2)-0.009*((48.9+49.3)/2)*EXP(0.0612*((21.1+21.2)/2)))/(273.15+((21.1+21.2)/2))</f>
        <v>0.88170664241106156</v>
      </c>
      <c r="R73" s="325" t="s">
        <v>125</v>
      </c>
      <c r="S73" s="325" t="s">
        <v>63</v>
      </c>
      <c r="T73" s="662">
        <v>2</v>
      </c>
      <c r="U73" s="367" t="s">
        <v>84</v>
      </c>
      <c r="V73" s="493" t="s">
        <v>84</v>
      </c>
      <c r="AJ73" s="50"/>
      <c r="AK73" s="50"/>
      <c r="AQ73" s="50"/>
      <c r="AR73" s="50"/>
      <c r="AS73" s="50"/>
      <c r="AT73" s="50"/>
      <c r="AU73" s="50"/>
      <c r="AV73" s="50"/>
      <c r="AW73" s="50"/>
      <c r="AX73" s="50"/>
    </row>
    <row r="74" spans="2:50" ht="30" customHeight="1" x14ac:dyDescent="0.2">
      <c r="B74" s="936" t="s">
        <v>126</v>
      </c>
      <c r="C74" s="658" t="s">
        <v>127</v>
      </c>
      <c r="D74" s="324" t="s">
        <v>99</v>
      </c>
      <c r="E74" s="324" t="s">
        <v>47</v>
      </c>
      <c r="F74" s="324" t="s">
        <v>128</v>
      </c>
      <c r="G74" s="324" t="s">
        <v>48</v>
      </c>
      <c r="H74" s="437">
        <v>4788</v>
      </c>
      <c r="I74" s="474">
        <v>44509</v>
      </c>
      <c r="J74" s="324">
        <v>1</v>
      </c>
      <c r="K74" s="460">
        <v>0.04</v>
      </c>
      <c r="L74" s="490"/>
      <c r="M74" s="324">
        <f t="shared" si="12"/>
        <v>1.00004</v>
      </c>
      <c r="N74" s="385">
        <f t="shared" si="13"/>
        <v>1</v>
      </c>
      <c r="O74" s="494">
        <f t="shared" si="2"/>
        <v>2.3094010767608128E-2</v>
      </c>
      <c r="P74" s="380">
        <v>3.3000000000000002E-2</v>
      </c>
      <c r="Q74" s="500">
        <f>(0.34848*((751.2+755.7)/2)-0.009024*((48.4+57.9)/2)*EXP(0.0612*((19.5+20.7)/2)))/(273.15+((19.5+20.7)/2))</f>
        <v>0.88975669159417592</v>
      </c>
      <c r="R74" s="324" t="s">
        <v>129</v>
      </c>
      <c r="S74" s="377" t="s">
        <v>63</v>
      </c>
      <c r="T74" s="972">
        <v>2</v>
      </c>
      <c r="U74" s="657" t="s">
        <v>84</v>
      </c>
      <c r="V74" s="539" t="s">
        <v>84</v>
      </c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</row>
    <row r="75" spans="2:50" ht="30" customHeight="1" x14ac:dyDescent="0.2">
      <c r="B75" s="937"/>
      <c r="C75" s="645" t="s">
        <v>130</v>
      </c>
      <c r="D75" s="175" t="s">
        <v>99</v>
      </c>
      <c r="E75" s="175" t="s">
        <v>47</v>
      </c>
      <c r="F75" s="175" t="s">
        <v>128</v>
      </c>
      <c r="G75" s="175" t="s">
        <v>48</v>
      </c>
      <c r="H75" s="440">
        <v>4788</v>
      </c>
      <c r="I75" s="473">
        <v>44509</v>
      </c>
      <c r="J75" s="175">
        <v>2</v>
      </c>
      <c r="K75" s="461">
        <v>0.04</v>
      </c>
      <c r="L75" s="491"/>
      <c r="M75" s="175">
        <f t="shared" si="12"/>
        <v>2.0000399999999998</v>
      </c>
      <c r="N75" s="382">
        <f t="shared" si="13"/>
        <v>2</v>
      </c>
      <c r="O75" s="477">
        <f t="shared" si="2"/>
        <v>2.3094010767479932E-2</v>
      </c>
      <c r="P75" s="370">
        <v>0.04</v>
      </c>
      <c r="Q75" s="501">
        <f t="shared" ref="Q75:Q92" si="14">(0.34848*((751.2+755.7)/2)-0.009024*((48.4+57.9)/2)*EXP(0.0612*((19.5+20.7)/2)))/(273.15+((19.5+20.7)/2))</f>
        <v>0.88975669159417592</v>
      </c>
      <c r="R75" s="175" t="str">
        <f t="shared" ref="R75:R87" si="15">R74</f>
        <v>M-016</v>
      </c>
      <c r="S75" s="372" t="s">
        <v>63</v>
      </c>
      <c r="T75" s="959"/>
      <c r="U75" s="369" t="s">
        <v>84</v>
      </c>
      <c r="V75" s="510" t="s">
        <v>84</v>
      </c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</row>
    <row r="76" spans="2:50" ht="30" customHeight="1" x14ac:dyDescent="0.2">
      <c r="B76" s="937"/>
      <c r="C76" s="645" t="s">
        <v>131</v>
      </c>
      <c r="D76" s="175" t="s">
        <v>99</v>
      </c>
      <c r="E76" s="175" t="s">
        <v>47</v>
      </c>
      <c r="F76" s="175" t="s">
        <v>128</v>
      </c>
      <c r="G76" s="175" t="s">
        <v>132</v>
      </c>
      <c r="H76" s="440">
        <v>4788</v>
      </c>
      <c r="I76" s="473">
        <v>44509</v>
      </c>
      <c r="J76" s="175">
        <v>2</v>
      </c>
      <c r="K76" s="461">
        <v>0.05</v>
      </c>
      <c r="L76" s="440"/>
      <c r="M76" s="175">
        <f t="shared" si="12"/>
        <v>2.0000499999999999</v>
      </c>
      <c r="N76" s="381">
        <f t="shared" si="13"/>
        <v>2</v>
      </c>
      <c r="O76" s="477">
        <f t="shared" si="2"/>
        <v>2.8867513459414011E-2</v>
      </c>
      <c r="P76" s="370">
        <v>0.04</v>
      </c>
      <c r="Q76" s="501">
        <f t="shared" si="14"/>
        <v>0.88975669159417592</v>
      </c>
      <c r="R76" s="175" t="str">
        <f t="shared" si="15"/>
        <v>M-016</v>
      </c>
      <c r="S76" s="372" t="s">
        <v>63</v>
      </c>
      <c r="T76" s="959"/>
      <c r="U76" s="369" t="s">
        <v>84</v>
      </c>
      <c r="V76" s="510" t="s">
        <v>84</v>
      </c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</row>
    <row r="77" spans="2:50" ht="30" customHeight="1" x14ac:dyDescent="0.2">
      <c r="B77" s="937"/>
      <c r="C77" s="645" t="s">
        <v>133</v>
      </c>
      <c r="D77" s="175" t="s">
        <v>99</v>
      </c>
      <c r="E77" s="175" t="s">
        <v>47</v>
      </c>
      <c r="F77" s="175" t="s">
        <v>128</v>
      </c>
      <c r="G77" s="175" t="s">
        <v>48</v>
      </c>
      <c r="H77" s="440">
        <v>4788</v>
      </c>
      <c r="I77" s="473">
        <v>44509</v>
      </c>
      <c r="J77" s="175">
        <v>5</v>
      </c>
      <c r="K77" s="440">
        <v>7.0000000000000007E-2</v>
      </c>
      <c r="L77" s="440">
        <v>0.04</v>
      </c>
      <c r="M77" s="175">
        <f t="shared" si="12"/>
        <v>5.00007</v>
      </c>
      <c r="N77" s="381">
        <f t="shared" si="13"/>
        <v>5.0000400000000003</v>
      </c>
      <c r="O77" s="477">
        <f t="shared" si="2"/>
        <v>1.7320508075545849E-2</v>
      </c>
      <c r="P77" s="370">
        <v>0.05</v>
      </c>
      <c r="Q77" s="501">
        <f t="shared" si="14"/>
        <v>0.88975669159417592</v>
      </c>
      <c r="R77" s="175" t="str">
        <f t="shared" si="15"/>
        <v>M-016</v>
      </c>
      <c r="S77" s="372" t="s">
        <v>63</v>
      </c>
      <c r="T77" s="959"/>
      <c r="U77" s="369" t="s">
        <v>84</v>
      </c>
      <c r="V77" s="510" t="s">
        <v>84</v>
      </c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</row>
    <row r="78" spans="2:50" ht="30" customHeight="1" x14ac:dyDescent="0.2">
      <c r="B78" s="937"/>
      <c r="C78" s="645" t="s">
        <v>134</v>
      </c>
      <c r="D78" s="175" t="s">
        <v>99</v>
      </c>
      <c r="E78" s="175" t="s">
        <v>47</v>
      </c>
      <c r="F78" s="175" t="s">
        <v>128</v>
      </c>
      <c r="G78" s="175" t="s">
        <v>48</v>
      </c>
      <c r="H78" s="440">
        <v>4788</v>
      </c>
      <c r="I78" s="473">
        <v>44509</v>
      </c>
      <c r="J78" s="175">
        <v>10</v>
      </c>
      <c r="K78" s="440">
        <v>0.09</v>
      </c>
      <c r="L78" s="440">
        <v>0.03</v>
      </c>
      <c r="M78" s="175">
        <f t="shared" si="12"/>
        <v>10.00009</v>
      </c>
      <c r="N78" s="381">
        <f t="shared" si="13"/>
        <v>10.000030000000001</v>
      </c>
      <c r="O78" s="477">
        <f t="shared" si="2"/>
        <v>3.4641016151091698E-2</v>
      </c>
      <c r="P78" s="370">
        <v>0.06</v>
      </c>
      <c r="Q78" s="501">
        <f t="shared" si="14"/>
        <v>0.88975669159417592</v>
      </c>
      <c r="R78" s="175" t="str">
        <f t="shared" si="15"/>
        <v>M-016</v>
      </c>
      <c r="S78" s="372" t="s">
        <v>63</v>
      </c>
      <c r="T78" s="959"/>
      <c r="U78" s="369" t="s">
        <v>84</v>
      </c>
      <c r="V78" s="510" t="s">
        <v>84</v>
      </c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</row>
    <row r="79" spans="2:50" ht="30" customHeight="1" x14ac:dyDescent="0.2">
      <c r="B79" s="937"/>
      <c r="C79" s="645" t="s">
        <v>135</v>
      </c>
      <c r="D79" s="175" t="s">
        <v>99</v>
      </c>
      <c r="E79" s="175" t="s">
        <v>47</v>
      </c>
      <c r="F79" s="175" t="s">
        <v>128</v>
      </c>
      <c r="G79" s="175" t="s">
        <v>48</v>
      </c>
      <c r="H79" s="440">
        <v>4788</v>
      </c>
      <c r="I79" s="473">
        <v>44509</v>
      </c>
      <c r="J79" s="175">
        <v>20</v>
      </c>
      <c r="K79" s="440">
        <v>0.11</v>
      </c>
      <c r="L79" s="440">
        <v>0.05</v>
      </c>
      <c r="M79" s="175">
        <f t="shared" si="12"/>
        <v>20.000109999999999</v>
      </c>
      <c r="N79" s="381">
        <f t="shared" si="13"/>
        <v>20.000050000000002</v>
      </c>
      <c r="O79" s="477">
        <f t="shared" si="2"/>
        <v>3.4641016150066116E-2</v>
      </c>
      <c r="P79" s="370">
        <v>8.3000000000000004E-2</v>
      </c>
      <c r="Q79" s="501">
        <f t="shared" si="14"/>
        <v>0.88975669159417592</v>
      </c>
      <c r="R79" s="175" t="str">
        <f t="shared" si="15"/>
        <v>M-016</v>
      </c>
      <c r="S79" s="372" t="s">
        <v>63</v>
      </c>
      <c r="T79" s="959"/>
      <c r="U79" s="369" t="s">
        <v>84</v>
      </c>
      <c r="V79" s="510" t="s">
        <v>84</v>
      </c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</row>
    <row r="80" spans="2:50" ht="30" customHeight="1" x14ac:dyDescent="0.2">
      <c r="B80" s="937"/>
      <c r="C80" s="645" t="s">
        <v>136</v>
      </c>
      <c r="D80" s="175" t="s">
        <v>99</v>
      </c>
      <c r="E80" s="175" t="s">
        <v>47</v>
      </c>
      <c r="F80" s="175" t="s">
        <v>128</v>
      </c>
      <c r="G80" s="175" t="s">
        <v>132</v>
      </c>
      <c r="H80" s="440">
        <v>4788</v>
      </c>
      <c r="I80" s="473">
        <v>44509</v>
      </c>
      <c r="J80" s="175">
        <v>20</v>
      </c>
      <c r="K80" s="440">
        <v>0.1</v>
      </c>
      <c r="L80" s="491">
        <v>7.0000000000000007E-2</v>
      </c>
      <c r="M80" s="175">
        <f t="shared" si="12"/>
        <v>20.0001</v>
      </c>
      <c r="N80" s="381">
        <f t="shared" si="13"/>
        <v>20.000070000000001</v>
      </c>
      <c r="O80" s="477">
        <f t="shared" si="2"/>
        <v>1.7320508075033058E-2</v>
      </c>
      <c r="P80" s="370">
        <v>8.3000000000000004E-2</v>
      </c>
      <c r="Q80" s="501">
        <f t="shared" si="14"/>
        <v>0.88975669159417592</v>
      </c>
      <c r="R80" s="175" t="str">
        <f t="shared" si="15"/>
        <v>M-016</v>
      </c>
      <c r="S80" s="372" t="s">
        <v>63</v>
      </c>
      <c r="T80" s="959"/>
      <c r="U80" s="369" t="s">
        <v>84</v>
      </c>
      <c r="V80" s="510" t="s">
        <v>84</v>
      </c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</row>
    <row r="81" spans="2:50" ht="30" customHeight="1" x14ac:dyDescent="0.2">
      <c r="B81" s="937"/>
      <c r="C81" s="645" t="s">
        <v>137</v>
      </c>
      <c r="D81" s="175" t="s">
        <v>99</v>
      </c>
      <c r="E81" s="175" t="s">
        <v>47</v>
      </c>
      <c r="F81" s="175" t="s">
        <v>128</v>
      </c>
      <c r="G81" s="175" t="s">
        <v>48</v>
      </c>
      <c r="H81" s="440">
        <v>4788</v>
      </c>
      <c r="I81" s="473">
        <v>44509</v>
      </c>
      <c r="J81" s="175">
        <v>50</v>
      </c>
      <c r="K81" s="440">
        <v>0.1</v>
      </c>
      <c r="L81" s="491">
        <v>0.08</v>
      </c>
      <c r="M81" s="175">
        <f t="shared" si="12"/>
        <v>50.000100000000003</v>
      </c>
      <c r="N81" s="382">
        <f t="shared" si="13"/>
        <v>50.000079999999997</v>
      </c>
      <c r="O81" s="477">
        <f t="shared" si="2"/>
        <v>1.1547005387457693E-2</v>
      </c>
      <c r="P81" s="370">
        <v>0.1</v>
      </c>
      <c r="Q81" s="501">
        <f t="shared" si="14"/>
        <v>0.88975669159417592</v>
      </c>
      <c r="R81" s="175" t="str">
        <f t="shared" si="15"/>
        <v>M-016</v>
      </c>
      <c r="S81" s="372" t="s">
        <v>63</v>
      </c>
      <c r="T81" s="959"/>
      <c r="U81" s="369" t="s">
        <v>84</v>
      </c>
      <c r="V81" s="510" t="s">
        <v>84</v>
      </c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</row>
    <row r="82" spans="2:50" ht="30" customHeight="1" x14ac:dyDescent="0.2">
      <c r="B82" s="937"/>
      <c r="C82" s="645" t="s">
        <v>138</v>
      </c>
      <c r="D82" s="175" t="s">
        <v>99</v>
      </c>
      <c r="E82" s="175" t="s">
        <v>47</v>
      </c>
      <c r="F82" s="175" t="s">
        <v>128</v>
      </c>
      <c r="G82" s="175" t="s">
        <v>48</v>
      </c>
      <c r="H82" s="440">
        <v>4788</v>
      </c>
      <c r="I82" s="473">
        <v>44509</v>
      </c>
      <c r="J82" s="175">
        <v>100</v>
      </c>
      <c r="K82" s="440">
        <v>0.12</v>
      </c>
      <c r="L82" s="440">
        <v>0.11</v>
      </c>
      <c r="M82" s="175">
        <f t="shared" si="12"/>
        <v>100.00012</v>
      </c>
      <c r="N82" s="382">
        <f t="shared" si="13"/>
        <v>100.00011000000001</v>
      </c>
      <c r="O82" s="477">
        <f t="shared" si="2"/>
        <v>5.7735026855242058E-3</v>
      </c>
      <c r="P82" s="175">
        <v>0.16</v>
      </c>
      <c r="Q82" s="501">
        <f t="shared" si="14"/>
        <v>0.88975669159417592</v>
      </c>
      <c r="R82" s="175" t="str">
        <f t="shared" si="15"/>
        <v>M-016</v>
      </c>
      <c r="S82" s="372" t="s">
        <v>63</v>
      </c>
      <c r="T82" s="959"/>
      <c r="U82" s="369" t="s">
        <v>84</v>
      </c>
      <c r="V82" s="510" t="s">
        <v>84</v>
      </c>
      <c r="AJ82" s="50"/>
      <c r="AK82" s="50"/>
      <c r="AV82" s="50"/>
      <c r="AW82" s="50"/>
      <c r="AX82" s="50"/>
    </row>
    <row r="83" spans="2:50" ht="30" customHeight="1" x14ac:dyDescent="0.2">
      <c r="B83" s="937"/>
      <c r="C83" s="645" t="s">
        <v>139</v>
      </c>
      <c r="D83" s="175" t="s">
        <v>99</v>
      </c>
      <c r="E83" s="175" t="s">
        <v>47</v>
      </c>
      <c r="F83" s="175" t="s">
        <v>128</v>
      </c>
      <c r="G83" s="175" t="s">
        <v>48</v>
      </c>
      <c r="H83" s="440">
        <v>4788</v>
      </c>
      <c r="I83" s="473">
        <v>44509</v>
      </c>
      <c r="J83" s="175">
        <v>200</v>
      </c>
      <c r="K83" s="440">
        <v>0.3</v>
      </c>
      <c r="L83" s="440">
        <v>0.1</v>
      </c>
      <c r="M83" s="175">
        <f t="shared" si="12"/>
        <v>200.00030000000001</v>
      </c>
      <c r="N83" s="382">
        <f t="shared" si="13"/>
        <v>200.0001</v>
      </c>
      <c r="O83" s="477">
        <f t="shared" si="2"/>
        <v>0.11547005384175836</v>
      </c>
      <c r="P83" s="373">
        <v>0.33</v>
      </c>
      <c r="Q83" s="501">
        <f t="shared" si="14"/>
        <v>0.88975669159417592</v>
      </c>
      <c r="R83" s="175" t="str">
        <f t="shared" si="15"/>
        <v>M-016</v>
      </c>
      <c r="S83" s="372" t="s">
        <v>63</v>
      </c>
      <c r="T83" s="959"/>
      <c r="U83" s="369" t="s">
        <v>84</v>
      </c>
      <c r="V83" s="510" t="s">
        <v>84</v>
      </c>
      <c r="AJ83" s="50"/>
      <c r="AK83" s="50"/>
      <c r="AV83" s="50"/>
      <c r="AW83" s="50"/>
      <c r="AX83" s="50"/>
    </row>
    <row r="84" spans="2:50" ht="30" customHeight="1" x14ac:dyDescent="0.2">
      <c r="B84" s="937"/>
      <c r="C84" s="645" t="s">
        <v>140</v>
      </c>
      <c r="D84" s="175" t="s">
        <v>99</v>
      </c>
      <c r="E84" s="175" t="s">
        <v>47</v>
      </c>
      <c r="F84" s="175" t="s">
        <v>128</v>
      </c>
      <c r="G84" s="175" t="s">
        <v>132</v>
      </c>
      <c r="H84" s="440">
        <v>4788</v>
      </c>
      <c r="I84" s="473">
        <v>44509</v>
      </c>
      <c r="J84" s="175">
        <v>200</v>
      </c>
      <c r="K84" s="440">
        <v>0.4</v>
      </c>
      <c r="L84" s="440">
        <v>0.08</v>
      </c>
      <c r="M84" s="175">
        <f t="shared" si="12"/>
        <v>200.00040000000001</v>
      </c>
      <c r="N84" s="382">
        <f t="shared" si="13"/>
        <v>200.00008</v>
      </c>
      <c r="O84" s="477">
        <f t="shared" si="2"/>
        <v>0.18475208615009525</v>
      </c>
      <c r="P84" s="373">
        <v>0.33</v>
      </c>
      <c r="Q84" s="501">
        <f t="shared" si="14"/>
        <v>0.88975669159417592</v>
      </c>
      <c r="R84" s="175" t="str">
        <f t="shared" si="15"/>
        <v>M-016</v>
      </c>
      <c r="S84" s="372" t="s">
        <v>63</v>
      </c>
      <c r="T84" s="959"/>
      <c r="U84" s="369" t="s">
        <v>84</v>
      </c>
      <c r="V84" s="510" t="s">
        <v>84</v>
      </c>
      <c r="AJ84" s="50"/>
      <c r="AK84" s="50"/>
      <c r="AV84" s="50"/>
      <c r="AW84" s="50"/>
      <c r="AX84" s="50"/>
    </row>
    <row r="85" spans="2:50" ht="30" customHeight="1" x14ac:dyDescent="0.2">
      <c r="B85" s="937"/>
      <c r="C85" s="645" t="s">
        <v>141</v>
      </c>
      <c r="D85" s="175" t="s">
        <v>99</v>
      </c>
      <c r="E85" s="175" t="s">
        <v>47</v>
      </c>
      <c r="F85" s="175" t="s">
        <v>128</v>
      </c>
      <c r="G85" s="175" t="s">
        <v>48</v>
      </c>
      <c r="H85" s="440">
        <v>4788</v>
      </c>
      <c r="I85" s="473">
        <v>44509</v>
      </c>
      <c r="J85" s="175">
        <v>500</v>
      </c>
      <c r="K85" s="440">
        <v>0.9</v>
      </c>
      <c r="L85" s="440">
        <v>0.11</v>
      </c>
      <c r="M85" s="175">
        <f t="shared" si="12"/>
        <v>500.0009</v>
      </c>
      <c r="N85" s="382">
        <f t="shared" si="13"/>
        <v>500.00011000000001</v>
      </c>
      <c r="O85" s="477">
        <f t="shared" si="2"/>
        <v>0.4561067126568954</v>
      </c>
      <c r="P85" s="373">
        <v>0.83</v>
      </c>
      <c r="Q85" s="501">
        <f t="shared" si="14"/>
        <v>0.88975669159417592</v>
      </c>
      <c r="R85" s="175" t="str">
        <f t="shared" si="15"/>
        <v>M-016</v>
      </c>
      <c r="S85" s="372" t="s">
        <v>63</v>
      </c>
      <c r="T85" s="959"/>
      <c r="U85" s="369" t="s">
        <v>84</v>
      </c>
      <c r="V85" s="510" t="s">
        <v>84</v>
      </c>
      <c r="AJ85" s="50"/>
      <c r="AK85" s="50"/>
      <c r="AV85" s="50"/>
      <c r="AW85" s="50"/>
      <c r="AX85" s="50"/>
    </row>
    <row r="86" spans="2:50" ht="30" customHeight="1" x14ac:dyDescent="0.2">
      <c r="B86" s="937"/>
      <c r="C86" s="645" t="s">
        <v>142</v>
      </c>
      <c r="D86" s="175" t="s">
        <v>99</v>
      </c>
      <c r="E86" s="175" t="s">
        <v>47</v>
      </c>
      <c r="F86" s="175" t="s">
        <v>128</v>
      </c>
      <c r="G86" s="175" t="s">
        <v>48</v>
      </c>
      <c r="H86" s="440">
        <v>4788</v>
      </c>
      <c r="I86" s="473">
        <v>44509</v>
      </c>
      <c r="J86" s="369">
        <v>1000</v>
      </c>
      <c r="K86" s="476">
        <v>-0.5</v>
      </c>
      <c r="L86" s="476">
        <v>0.3</v>
      </c>
      <c r="M86" s="175">
        <f t="shared" si="12"/>
        <v>999.99950000000001</v>
      </c>
      <c r="N86" s="371">
        <f t="shared" si="13"/>
        <v>1000.0003</v>
      </c>
      <c r="O86" s="477">
        <f t="shared" si="2"/>
        <v>0.46188021536703344</v>
      </c>
      <c r="P86" s="175">
        <v>1.6</v>
      </c>
      <c r="Q86" s="501">
        <f t="shared" si="14"/>
        <v>0.88975669159417592</v>
      </c>
      <c r="R86" s="175" t="str">
        <f t="shared" si="15"/>
        <v>M-016</v>
      </c>
      <c r="S86" s="372" t="s">
        <v>63</v>
      </c>
      <c r="T86" s="959"/>
      <c r="U86" s="369" t="s">
        <v>84</v>
      </c>
      <c r="V86" s="510" t="s">
        <v>84</v>
      </c>
      <c r="AJ86" s="50"/>
      <c r="AK86" s="50"/>
      <c r="AV86" s="50"/>
      <c r="AW86" s="50"/>
      <c r="AX86" s="50"/>
    </row>
    <row r="87" spans="2:50" ht="30" customHeight="1" x14ac:dyDescent="0.2">
      <c r="B87" s="937"/>
      <c r="C87" s="645" t="s">
        <v>143</v>
      </c>
      <c r="D87" s="175" t="s">
        <v>99</v>
      </c>
      <c r="E87" s="175" t="s">
        <v>47</v>
      </c>
      <c r="F87" s="175" t="s">
        <v>128</v>
      </c>
      <c r="G87" s="175" t="s">
        <v>48</v>
      </c>
      <c r="H87" s="440">
        <v>4788</v>
      </c>
      <c r="I87" s="506" t="s">
        <v>144</v>
      </c>
      <c r="J87" s="369">
        <v>2000</v>
      </c>
      <c r="K87" s="476">
        <v>3.1</v>
      </c>
      <c r="L87" s="476">
        <v>0.3</v>
      </c>
      <c r="M87" s="175">
        <f t="shared" si="12"/>
        <v>2000.0030999999999</v>
      </c>
      <c r="N87" s="371">
        <f t="shared" si="13"/>
        <v>2000.0002999999999</v>
      </c>
      <c r="O87" s="477">
        <f t="shared" si="2"/>
        <v>1.61658075371898</v>
      </c>
      <c r="P87" s="373">
        <v>3</v>
      </c>
      <c r="Q87" s="501">
        <f t="shared" si="14"/>
        <v>0.88975669159417592</v>
      </c>
      <c r="R87" s="175" t="str">
        <f t="shared" si="15"/>
        <v>M-016</v>
      </c>
      <c r="S87" s="372" t="s">
        <v>63</v>
      </c>
      <c r="T87" s="959"/>
      <c r="U87" s="369" t="s">
        <v>84</v>
      </c>
      <c r="V87" s="510" t="s">
        <v>84</v>
      </c>
      <c r="AJ87" s="50"/>
      <c r="AK87" s="50"/>
      <c r="AV87" s="50"/>
      <c r="AW87" s="50"/>
      <c r="AX87" s="50"/>
    </row>
    <row r="88" spans="2:50" ht="30" customHeight="1" x14ac:dyDescent="0.2">
      <c r="B88" s="937"/>
      <c r="C88" s="645" t="s">
        <v>145</v>
      </c>
      <c r="D88" s="175" t="s">
        <v>99</v>
      </c>
      <c r="E88" s="175" t="s">
        <v>47</v>
      </c>
      <c r="F88" s="175" t="s">
        <v>128</v>
      </c>
      <c r="G88" s="175" t="s">
        <v>132</v>
      </c>
      <c r="H88" s="440">
        <v>4788</v>
      </c>
      <c r="I88" s="473">
        <v>44509</v>
      </c>
      <c r="J88" s="369">
        <v>2000</v>
      </c>
      <c r="K88" s="440">
        <v>3.2</v>
      </c>
      <c r="L88" s="440">
        <v>0.8</v>
      </c>
      <c r="M88" s="175">
        <f t="shared" si="12"/>
        <v>2000.0032000000001</v>
      </c>
      <c r="N88" s="371">
        <f t="shared" si="13"/>
        <v>2000.0008</v>
      </c>
      <c r="O88" s="477">
        <f t="shared" si="2"/>
        <v>1.3856406461011004</v>
      </c>
      <c r="P88" s="373">
        <v>3</v>
      </c>
      <c r="Q88" s="501">
        <f t="shared" si="14"/>
        <v>0.88975669159417592</v>
      </c>
      <c r="R88" s="175" t="str">
        <f>R87</f>
        <v>M-016</v>
      </c>
      <c r="S88" s="372" t="s">
        <v>63</v>
      </c>
      <c r="T88" s="959"/>
      <c r="U88" s="369" t="s">
        <v>84</v>
      </c>
      <c r="V88" s="510" t="s">
        <v>84</v>
      </c>
      <c r="AJ88" s="50"/>
      <c r="AK88" s="50"/>
      <c r="AV88" s="50"/>
      <c r="AW88" s="50"/>
      <c r="AX88" s="50"/>
    </row>
    <row r="89" spans="2:50" ht="30" customHeight="1" x14ac:dyDescent="0.2">
      <c r="B89" s="937"/>
      <c r="C89" s="645" t="s">
        <v>146</v>
      </c>
      <c r="D89" s="175" t="s">
        <v>99</v>
      </c>
      <c r="E89" s="175" t="s">
        <v>47</v>
      </c>
      <c r="F89" s="175" t="s">
        <v>128</v>
      </c>
      <c r="G89" s="175" t="s">
        <v>132</v>
      </c>
      <c r="H89" s="440">
        <v>4788</v>
      </c>
      <c r="I89" s="473">
        <v>44509</v>
      </c>
      <c r="J89" s="540">
        <f>SUM(J87:J88)</f>
        <v>4000</v>
      </c>
      <c r="K89" s="476">
        <f>SUM(K87:K88)</f>
        <v>6.3000000000000007</v>
      </c>
      <c r="L89" s="476">
        <f>SUM(L87:L88)</f>
        <v>1.1000000000000001</v>
      </c>
      <c r="M89" s="371">
        <f t="shared" si="12"/>
        <v>4000.0063</v>
      </c>
      <c r="N89" s="371">
        <f t="shared" si="13"/>
        <v>4000.0011</v>
      </c>
      <c r="O89" s="477">
        <f t="shared" si="2"/>
        <v>3.0022213998200806</v>
      </c>
      <c r="P89" s="373">
        <f>P88+P87</f>
        <v>6</v>
      </c>
      <c r="Q89" s="501">
        <f t="shared" si="14"/>
        <v>0.88975669159417592</v>
      </c>
      <c r="R89" s="175" t="str">
        <f t="shared" ref="R89:R92" si="16">R88</f>
        <v>M-016</v>
      </c>
      <c r="S89" s="372" t="s">
        <v>63</v>
      </c>
      <c r="T89" s="959"/>
      <c r="U89" s="369" t="s">
        <v>84</v>
      </c>
      <c r="V89" s="510" t="s">
        <v>84</v>
      </c>
      <c r="AJ89" s="50"/>
      <c r="AK89" s="50"/>
      <c r="AV89" s="50"/>
      <c r="AW89" s="50"/>
      <c r="AX89" s="50"/>
    </row>
    <row r="90" spans="2:50" ht="30" customHeight="1" x14ac:dyDescent="0.2">
      <c r="B90" s="937"/>
      <c r="C90" s="645" t="s">
        <v>147</v>
      </c>
      <c r="D90" s="175" t="s">
        <v>99</v>
      </c>
      <c r="E90" s="175" t="s">
        <v>47</v>
      </c>
      <c r="F90" s="175" t="s">
        <v>128</v>
      </c>
      <c r="G90" s="175" t="s">
        <v>48</v>
      </c>
      <c r="H90" s="440">
        <v>4788</v>
      </c>
      <c r="I90" s="473">
        <v>44509</v>
      </c>
      <c r="J90" s="540">
        <v>5000</v>
      </c>
      <c r="K90" s="440">
        <v>7.9</v>
      </c>
      <c r="L90" s="440">
        <v>7.8</v>
      </c>
      <c r="M90" s="175">
        <f t="shared" si="12"/>
        <v>5000.0078999999996</v>
      </c>
      <c r="N90" s="371">
        <f t="shared" si="13"/>
        <v>5000.0078000000003</v>
      </c>
      <c r="O90" s="477">
        <f t="shared" si="2"/>
        <v>5.7735026510647144E-2</v>
      </c>
      <c r="P90" s="373">
        <v>8</v>
      </c>
      <c r="Q90" s="501">
        <f t="shared" si="14"/>
        <v>0.88975669159417592</v>
      </c>
      <c r="R90" s="175" t="str">
        <f t="shared" si="16"/>
        <v>M-016</v>
      </c>
      <c r="S90" s="372" t="s">
        <v>63</v>
      </c>
      <c r="T90" s="959"/>
      <c r="U90" s="369" t="s">
        <v>84</v>
      </c>
      <c r="V90" s="510" t="s">
        <v>84</v>
      </c>
      <c r="AJ90" s="50"/>
      <c r="AK90" s="50"/>
      <c r="AV90" s="50"/>
      <c r="AW90" s="50"/>
      <c r="AX90" s="50"/>
    </row>
    <row r="91" spans="2:50" ht="30" customHeight="1" x14ac:dyDescent="0.2">
      <c r="B91" s="937"/>
      <c r="C91" s="645" t="s">
        <v>148</v>
      </c>
      <c r="D91" s="175" t="s">
        <v>99</v>
      </c>
      <c r="E91" s="175" t="s">
        <v>47</v>
      </c>
      <c r="F91" s="175" t="s">
        <v>128</v>
      </c>
      <c r="G91" s="175" t="s">
        <v>48</v>
      </c>
      <c r="H91" s="440">
        <v>4788</v>
      </c>
      <c r="I91" s="473">
        <v>44509</v>
      </c>
      <c r="J91" s="540">
        <f>J90+J86</f>
        <v>6000</v>
      </c>
      <c r="K91" s="476">
        <f>K90+K86</f>
        <v>7.4</v>
      </c>
      <c r="L91" s="476">
        <f>L90+L86</f>
        <v>8.1</v>
      </c>
      <c r="M91" s="175">
        <f t="shared" si="12"/>
        <v>6000.0074000000004</v>
      </c>
      <c r="N91" s="371">
        <f t="shared" si="13"/>
        <v>6000.0081</v>
      </c>
      <c r="O91" s="477">
        <f t="shared" si="2"/>
        <v>0.40414518820001505</v>
      </c>
      <c r="P91" s="373">
        <f>P90+P86</f>
        <v>9.6</v>
      </c>
      <c r="Q91" s="501">
        <f t="shared" si="14"/>
        <v>0.88975669159417592</v>
      </c>
      <c r="R91" s="175" t="str">
        <f t="shared" si="16"/>
        <v>M-016</v>
      </c>
      <c r="S91" s="372" t="s">
        <v>63</v>
      </c>
      <c r="T91" s="959"/>
      <c r="U91" s="369" t="s">
        <v>84</v>
      </c>
      <c r="V91" s="510" t="s">
        <v>84</v>
      </c>
      <c r="Y91" s="50"/>
      <c r="Z91" s="50"/>
      <c r="AJ91" s="50"/>
      <c r="AK91" s="50"/>
      <c r="AV91" s="50"/>
      <c r="AW91" s="50"/>
      <c r="AX91" s="50"/>
    </row>
    <row r="92" spans="2:50" ht="30" customHeight="1" thickBot="1" x14ac:dyDescent="0.25">
      <c r="B92" s="938"/>
      <c r="C92" s="659" t="s">
        <v>149</v>
      </c>
      <c r="D92" s="325" t="s">
        <v>99</v>
      </c>
      <c r="E92" s="325" t="s">
        <v>150</v>
      </c>
      <c r="F92" s="325" t="s">
        <v>128</v>
      </c>
      <c r="G92" s="325" t="s">
        <v>48</v>
      </c>
      <c r="H92" s="444">
        <v>4788</v>
      </c>
      <c r="I92" s="475">
        <v>44509</v>
      </c>
      <c r="J92" s="663">
        <f>J90+J87+J86+J83</f>
        <v>8200</v>
      </c>
      <c r="K92" s="664">
        <f>K90+K87+K86+K83</f>
        <v>10.8</v>
      </c>
      <c r="L92" s="664">
        <f>L90+L87+L86+L83</f>
        <v>8.5</v>
      </c>
      <c r="M92" s="325">
        <f>J92+(K92)/1000</f>
        <v>8200.0108</v>
      </c>
      <c r="N92" s="374">
        <f t="shared" si="13"/>
        <v>8200.0084999999999</v>
      </c>
      <c r="O92" s="495">
        <f t="shared" si="2"/>
        <v>1.3279056191966305</v>
      </c>
      <c r="P92" s="379">
        <f>P90+P87+P86+P83</f>
        <v>12.93</v>
      </c>
      <c r="Q92" s="502">
        <f t="shared" si="14"/>
        <v>0.88975669159417592</v>
      </c>
      <c r="R92" s="325" t="str">
        <f t="shared" si="16"/>
        <v>M-016</v>
      </c>
      <c r="S92" s="375" t="s">
        <v>63</v>
      </c>
      <c r="T92" s="959"/>
      <c r="U92" s="369" t="s">
        <v>84</v>
      </c>
      <c r="V92" s="510" t="s">
        <v>84</v>
      </c>
      <c r="W92" s="361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V92" s="50"/>
      <c r="AW92" s="50"/>
      <c r="AX92" s="50"/>
    </row>
    <row r="93" spans="2:50" ht="30" customHeight="1" thickBot="1" x14ac:dyDescent="0.25">
      <c r="B93" s="684"/>
      <c r="C93" s="686"/>
      <c r="D93" s="449"/>
      <c r="E93" s="687"/>
      <c r="F93" s="449"/>
      <c r="G93" s="449"/>
      <c r="H93" s="688"/>
      <c r="I93" s="689"/>
      <c r="J93" s="690"/>
      <c r="K93" s="691"/>
      <c r="L93" s="691"/>
      <c r="M93" s="449"/>
      <c r="N93" s="692"/>
      <c r="O93" s="693"/>
      <c r="P93" s="694"/>
      <c r="Q93" s="695"/>
      <c r="R93" s="696"/>
      <c r="S93" s="449"/>
      <c r="T93" s="872"/>
      <c r="U93" s="369" t="s">
        <v>84</v>
      </c>
      <c r="V93" s="510" t="s">
        <v>84</v>
      </c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V93" s="50"/>
      <c r="AW93" s="50"/>
      <c r="AX93" s="50"/>
    </row>
    <row r="94" spans="2:50" ht="30" customHeight="1" thickBot="1" x14ac:dyDescent="0.25">
      <c r="B94" s="685" t="s">
        <v>151</v>
      </c>
      <c r="C94" s="658" t="s">
        <v>152</v>
      </c>
      <c r="D94" s="749" t="s">
        <v>153</v>
      </c>
      <c r="E94" s="749" t="s">
        <v>154</v>
      </c>
      <c r="F94" s="750" t="s">
        <v>155</v>
      </c>
      <c r="G94" s="749" t="s">
        <v>48</v>
      </c>
      <c r="H94" s="454">
        <v>5407</v>
      </c>
      <c r="I94" s="751" t="s">
        <v>156</v>
      </c>
      <c r="J94" s="749">
        <v>20000</v>
      </c>
      <c r="K94" s="752" t="s">
        <v>157</v>
      </c>
      <c r="L94" s="752" t="s">
        <v>158</v>
      </c>
      <c r="M94" s="749">
        <v>20000.008999999998</v>
      </c>
      <c r="N94" s="749">
        <v>20000.002</v>
      </c>
      <c r="O94" s="753">
        <f t="shared" ref="O94:O104" si="17">ABS(N94-M94)/SQRT(3)*1000</f>
        <v>4.0414518830503443</v>
      </c>
      <c r="P94" s="754">
        <v>10</v>
      </c>
      <c r="Q94" s="755">
        <f>(0.34848*((754.5+754.8)/2)-0.009*((50.9+51.1)/2)*EXP(0.0612*((20.8+20.9)/2)))/(273.15+((20.8+20.9)/2))</f>
        <v>0.88889840721616875</v>
      </c>
      <c r="R94" s="750" t="s">
        <v>159</v>
      </c>
      <c r="S94" s="756" t="s">
        <v>63</v>
      </c>
      <c r="T94" s="867">
        <v>2</v>
      </c>
      <c r="U94" s="369" t="s">
        <v>84</v>
      </c>
      <c r="V94" s="510" t="s">
        <v>84</v>
      </c>
      <c r="AV94" s="50"/>
      <c r="AW94" s="50"/>
      <c r="AX94" s="50"/>
    </row>
    <row r="95" spans="2:50" ht="30" customHeight="1" thickBot="1" x14ac:dyDescent="0.25">
      <c r="B95" s="685" t="s">
        <v>160</v>
      </c>
      <c r="C95" s="645" t="s">
        <v>161</v>
      </c>
      <c r="D95" s="744" t="s">
        <v>46</v>
      </c>
      <c r="E95" s="744" t="s">
        <v>154</v>
      </c>
      <c r="F95" s="757" t="s">
        <v>162</v>
      </c>
      <c r="G95" s="744">
        <v>20</v>
      </c>
      <c r="H95" s="455">
        <v>5408</v>
      </c>
      <c r="I95" s="758" t="s">
        <v>156</v>
      </c>
      <c r="J95" s="744">
        <v>20000</v>
      </c>
      <c r="K95" s="759" t="s">
        <v>163</v>
      </c>
      <c r="L95" s="759" t="s">
        <v>164</v>
      </c>
      <c r="M95" s="744">
        <v>20000.030999999999</v>
      </c>
      <c r="N95" s="744">
        <v>20000.039000000001</v>
      </c>
      <c r="O95" s="760">
        <f t="shared" si="17"/>
        <v>4.6188021544579803</v>
      </c>
      <c r="P95" s="761">
        <v>30</v>
      </c>
      <c r="Q95" s="762">
        <f>(0.34848*((752.8+753.2)/2)-0.009*((50.3+50.4)/2)*EXP(0.0612*((20.9+21)/2)))/(273.15+((20.9+21)/2))</f>
        <v>0.88667844666689899</v>
      </c>
      <c r="R95" s="757" t="s">
        <v>165</v>
      </c>
      <c r="S95" s="763" t="s">
        <v>63</v>
      </c>
      <c r="T95" s="867"/>
      <c r="U95" s="369" t="s">
        <v>84</v>
      </c>
      <c r="V95" s="510" t="s">
        <v>84</v>
      </c>
      <c r="AV95" s="50"/>
      <c r="AW95" s="50"/>
      <c r="AX95" s="50"/>
    </row>
    <row r="96" spans="2:50" ht="30" customHeight="1" thickBot="1" x14ac:dyDescent="0.25">
      <c r="B96" s="685" t="s">
        <v>166</v>
      </c>
      <c r="C96" s="764" t="s">
        <v>167</v>
      </c>
      <c r="D96" s="744" t="s">
        <v>46</v>
      </c>
      <c r="E96" s="757" t="s">
        <v>154</v>
      </c>
      <c r="F96" s="757" t="s">
        <v>168</v>
      </c>
      <c r="G96" s="757" t="s">
        <v>169</v>
      </c>
      <c r="H96" s="759" t="s">
        <v>170</v>
      </c>
      <c r="I96" s="758" t="s">
        <v>156</v>
      </c>
      <c r="J96" s="757" t="s">
        <v>171</v>
      </c>
      <c r="K96" s="759" t="s">
        <v>172</v>
      </c>
      <c r="L96" s="759" t="s">
        <v>173</v>
      </c>
      <c r="M96" s="757" t="s">
        <v>174</v>
      </c>
      <c r="N96" s="757" t="s">
        <v>175</v>
      </c>
      <c r="O96" s="760">
        <f t="shared" si="17"/>
        <v>1.1547005386144951</v>
      </c>
      <c r="P96" s="761">
        <v>30</v>
      </c>
      <c r="Q96" s="762">
        <f>(0.34848*((753.3+753.8)/2)-0.009*((50.5+50.6)/2)*EXP(0.0612*((20.8+20.9)/2)))/(273.15+((20.8+20.9)/2))</f>
        <v>0.8876439192293275</v>
      </c>
      <c r="R96" s="757" t="s">
        <v>176</v>
      </c>
      <c r="S96" s="763" t="s">
        <v>63</v>
      </c>
      <c r="T96" s="867"/>
      <c r="U96" s="369" t="s">
        <v>84</v>
      </c>
      <c r="V96" s="510" t="s">
        <v>84</v>
      </c>
      <c r="AV96" s="50"/>
      <c r="AW96" s="50"/>
      <c r="AX96" s="50"/>
    </row>
    <row r="97" spans="1:50" ht="30" customHeight="1" thickBot="1" x14ac:dyDescent="0.25">
      <c r="A97" s="46"/>
      <c r="B97" s="685" t="s">
        <v>177</v>
      </c>
      <c r="C97" s="764" t="s">
        <v>178</v>
      </c>
      <c r="D97" s="744" t="s">
        <v>46</v>
      </c>
      <c r="E97" s="757" t="s">
        <v>154</v>
      </c>
      <c r="F97" s="757" t="s">
        <v>179</v>
      </c>
      <c r="G97" s="757" t="s">
        <v>180</v>
      </c>
      <c r="H97" s="759" t="s">
        <v>181</v>
      </c>
      <c r="I97" s="758" t="s">
        <v>156</v>
      </c>
      <c r="J97" s="757" t="s">
        <v>171</v>
      </c>
      <c r="K97" s="759" t="s">
        <v>182</v>
      </c>
      <c r="L97" s="759" t="s">
        <v>183</v>
      </c>
      <c r="M97" s="757" t="s">
        <v>184</v>
      </c>
      <c r="N97" s="757" t="s">
        <v>185</v>
      </c>
      <c r="O97" s="760">
        <f t="shared" si="17"/>
        <v>1.7320508079217425</v>
      </c>
      <c r="P97" s="761">
        <v>30</v>
      </c>
      <c r="Q97" s="762">
        <f>(0.34848*((753.9+754.3)/2)-0.009*((50.5+50.6)/2)*EXP(0.0612*((20.8+20.9)/2)))/(273.15+((20.8+20.9)/2))</f>
        <v>0.88829583759667441</v>
      </c>
      <c r="R97" s="757" t="s">
        <v>186</v>
      </c>
      <c r="S97" s="763" t="s">
        <v>63</v>
      </c>
      <c r="T97" s="867"/>
      <c r="U97" s="369" t="s">
        <v>84</v>
      </c>
      <c r="V97" s="510" t="s">
        <v>84</v>
      </c>
      <c r="AV97" s="50"/>
      <c r="AW97" s="50"/>
      <c r="AX97" s="50"/>
    </row>
    <row r="98" spans="1:50" ht="30" customHeight="1" thickBot="1" x14ac:dyDescent="0.25">
      <c r="A98" s="46"/>
      <c r="B98" s="685" t="s">
        <v>187</v>
      </c>
      <c r="C98" s="764" t="s">
        <v>188</v>
      </c>
      <c r="D98" s="744" t="s">
        <v>46</v>
      </c>
      <c r="E98" s="757" t="s">
        <v>189</v>
      </c>
      <c r="F98" s="757" t="s">
        <v>190</v>
      </c>
      <c r="G98" s="757" t="s">
        <v>191</v>
      </c>
      <c r="H98" s="759" t="s">
        <v>192</v>
      </c>
      <c r="I98" s="758" t="s">
        <v>193</v>
      </c>
      <c r="J98" s="757" t="s">
        <v>194</v>
      </c>
      <c r="K98" s="759" t="s">
        <v>195</v>
      </c>
      <c r="L98" s="759" t="s">
        <v>196</v>
      </c>
      <c r="M98" s="757" t="s">
        <v>197</v>
      </c>
      <c r="N98" s="757" t="s">
        <v>198</v>
      </c>
      <c r="O98" s="760">
        <f t="shared" si="17"/>
        <v>12.12435565335181</v>
      </c>
      <c r="P98" s="761">
        <v>16</v>
      </c>
      <c r="Q98" s="762">
        <f>(0.34848*((752.5+753.7)/2)-0.009*((53.8+54.6)/2)*EXP(0.0612*((21.6+21.7)/2)))/(273.15+((21.6+21.7)/2))</f>
        <v>0.88400654914295929</v>
      </c>
      <c r="R98" s="757" t="s">
        <v>199</v>
      </c>
      <c r="S98" s="763" t="s">
        <v>63</v>
      </c>
      <c r="T98" s="867"/>
      <c r="U98" s="369" t="s">
        <v>84</v>
      </c>
      <c r="V98" s="510" t="s">
        <v>84</v>
      </c>
      <c r="AV98" s="50"/>
      <c r="AW98" s="50"/>
      <c r="AX98" s="50"/>
    </row>
    <row r="99" spans="1:50" ht="30" customHeight="1" thickBot="1" x14ac:dyDescent="0.25">
      <c r="A99" s="46"/>
      <c r="B99" s="685" t="s">
        <v>200</v>
      </c>
      <c r="C99" s="764" t="s">
        <v>201</v>
      </c>
      <c r="D99" s="744" t="s">
        <v>46</v>
      </c>
      <c r="E99" s="757" t="s">
        <v>189</v>
      </c>
      <c r="F99" s="757" t="s">
        <v>202</v>
      </c>
      <c r="G99" s="757" t="s">
        <v>203</v>
      </c>
      <c r="H99" s="759" t="s">
        <v>204</v>
      </c>
      <c r="I99" s="758" t="s">
        <v>205</v>
      </c>
      <c r="J99" s="757" t="s">
        <v>194</v>
      </c>
      <c r="K99" s="759" t="s">
        <v>206</v>
      </c>
      <c r="L99" s="759" t="s">
        <v>207</v>
      </c>
      <c r="M99" s="757" t="s">
        <v>208</v>
      </c>
      <c r="N99" s="757" t="s">
        <v>209</v>
      </c>
      <c r="O99" s="760">
        <f t="shared" si="17"/>
        <v>9.8149545761228207</v>
      </c>
      <c r="P99" s="761">
        <v>16</v>
      </c>
      <c r="Q99" s="762">
        <f>(0.34848*((753+754.6)/2)-0.009*((53.6+54.8)/2)*EXP(0.0612*((21.6+21.7)/2)))/(273.15+((21.6+21.7)/2))</f>
        <v>0.88483401182952626</v>
      </c>
      <c r="R99" s="757" t="s">
        <v>210</v>
      </c>
      <c r="S99" s="763" t="s">
        <v>63</v>
      </c>
      <c r="T99" s="867"/>
      <c r="U99" s="369" t="s">
        <v>84</v>
      </c>
      <c r="V99" s="510" t="s">
        <v>84</v>
      </c>
      <c r="AV99" s="50"/>
      <c r="AW99" s="50"/>
      <c r="AX99" s="50"/>
    </row>
    <row r="100" spans="1:50" ht="30" customHeight="1" thickBot="1" x14ac:dyDescent="0.25">
      <c r="A100" s="262"/>
      <c r="B100" s="685" t="s">
        <v>211</v>
      </c>
      <c r="C100" s="765" t="s">
        <v>212</v>
      </c>
      <c r="D100" s="766" t="s">
        <v>46</v>
      </c>
      <c r="E100" s="767" t="s">
        <v>189</v>
      </c>
      <c r="F100" s="767" t="s">
        <v>213</v>
      </c>
      <c r="G100" s="767" t="s">
        <v>214</v>
      </c>
      <c r="H100" s="768" t="s">
        <v>215</v>
      </c>
      <c r="I100" s="769" t="s">
        <v>216</v>
      </c>
      <c r="J100" s="767" t="s">
        <v>217</v>
      </c>
      <c r="K100" s="768" t="s">
        <v>218</v>
      </c>
      <c r="L100" s="768" t="s">
        <v>172</v>
      </c>
      <c r="M100" s="767" t="s">
        <v>219</v>
      </c>
      <c r="N100" s="767" t="s">
        <v>220</v>
      </c>
      <c r="O100" s="770">
        <f t="shared" si="17"/>
        <v>2.0784609690860134</v>
      </c>
      <c r="P100" s="771">
        <v>8</v>
      </c>
      <c r="Q100" s="772">
        <f>(0.34848*((753.8+754.4)/2)-0.009*((52.7+54)/2)*EXP(0.0612*((21.4+21.6)/2)))/(273.15+((21.4+21.6)/2))</f>
        <v>0.88579296619932124</v>
      </c>
      <c r="R100" s="767" t="s">
        <v>221</v>
      </c>
      <c r="S100" s="773" t="s">
        <v>63</v>
      </c>
      <c r="T100" s="867"/>
      <c r="U100" s="369" t="s">
        <v>84</v>
      </c>
      <c r="V100" s="510" t="s">
        <v>84</v>
      </c>
      <c r="AV100" s="50"/>
      <c r="AW100" s="50"/>
      <c r="AX100" s="50"/>
    </row>
    <row r="101" spans="1:50" ht="50.1" customHeight="1" x14ac:dyDescent="0.2">
      <c r="A101" s="46"/>
      <c r="B101" s="881" t="s">
        <v>222</v>
      </c>
      <c r="C101" s="656" t="str">
        <f>C98&amp;"-
 "&amp;C100</f>
        <v>F1 10 kg C-
 F1 5 kg E</v>
      </c>
      <c r="D101" s="742" t="s">
        <v>46</v>
      </c>
      <c r="E101" s="742" t="str">
        <f>E98&amp;"-
 "&amp;E100</f>
        <v>Accurate-
 Accurate</v>
      </c>
      <c r="F101" s="742" t="str">
        <f>F98&amp;"-
 "&amp;F100</f>
        <v>1913624-
 1913622</v>
      </c>
      <c r="G101" s="742" t="str">
        <f>G98&amp;"-
 "&amp;G100</f>
        <v>10 C-
 5 E</v>
      </c>
      <c r="H101" s="743" t="str">
        <f>H98&amp;"-
 "&amp;H100</f>
        <v>5264-
 5266</v>
      </c>
      <c r="I101" s="743" t="str">
        <f>I98&amp;"-
 "&amp;I100</f>
        <v>2021-06-03-
 2021-06-08</v>
      </c>
      <c r="J101" s="742">
        <f>J98+J100</f>
        <v>15000</v>
      </c>
      <c r="K101" s="743">
        <f>K98+K100</f>
        <v>19.600000000000001</v>
      </c>
      <c r="L101" s="743">
        <f>L98+L100</f>
        <v>-5</v>
      </c>
      <c r="M101" s="742">
        <f t="shared" ref="M101:N101" si="18">M98+M100</f>
        <v>15000.0196</v>
      </c>
      <c r="N101" s="742">
        <f t="shared" si="18"/>
        <v>14999.994999999999</v>
      </c>
      <c r="O101" s="774">
        <f t="shared" si="17"/>
        <v>14.202816622437824</v>
      </c>
      <c r="P101" s="775">
        <f>P98+P100</f>
        <v>24</v>
      </c>
      <c r="Q101" s="776">
        <f>(0.34848*((753.8+754.4)/2)-0.009*((52.7+54)/2)*EXP(0.0612*((21.4+21.6)/2)))/(273.15+((21.4+21.6)/2))</f>
        <v>0.88579296619932124</v>
      </c>
      <c r="R101" s="742" t="str">
        <f>R98&amp;"-
 "&amp;R100</f>
        <v>M-023-
 M-025</v>
      </c>
      <c r="S101" s="742" t="s">
        <v>63</v>
      </c>
      <c r="T101" s="965">
        <v>2</v>
      </c>
      <c r="U101" s="369" t="s">
        <v>84</v>
      </c>
      <c r="V101" s="510" t="s">
        <v>84</v>
      </c>
      <c r="AV101" s="50"/>
      <c r="AW101" s="50"/>
      <c r="AX101" s="50"/>
    </row>
    <row r="102" spans="1:50" ht="50.1" customHeight="1" x14ac:dyDescent="0.2">
      <c r="A102" s="46"/>
      <c r="B102" s="880"/>
      <c r="C102" s="645" t="str">
        <f>C97&amp;"-
 "&amp;C100</f>
        <v>F1 20 kg B-
 F1 5 kg E</v>
      </c>
      <c r="D102" s="744" t="s">
        <v>46</v>
      </c>
      <c r="E102" s="744" t="str">
        <f>E97&amp;"-
 "&amp;E100</f>
        <v>Kern-
 Accurate</v>
      </c>
      <c r="F102" s="744" t="str">
        <f>F97&amp;"-
 "&amp;F100</f>
        <v>G 1934094-
 1913622</v>
      </c>
      <c r="G102" s="744" t="str">
        <f>G97&amp;"-
 "&amp;G100</f>
        <v>20 B-
 5 E</v>
      </c>
      <c r="H102" s="455" t="str">
        <f>H97&amp;"-
 "&amp;H100</f>
        <v>5411-
 5266</v>
      </c>
      <c r="I102" s="455" t="str">
        <f>I97&amp;"-
 "&amp;I100</f>
        <v>2021-09-02-
 2021-06-08</v>
      </c>
      <c r="J102" s="744">
        <f>J97+J100</f>
        <v>25000</v>
      </c>
      <c r="K102" s="455">
        <f>K97+K100</f>
        <v>43.6</v>
      </c>
      <c r="L102" s="455">
        <f>L97+L100</f>
        <v>43</v>
      </c>
      <c r="M102" s="744">
        <f>M97+M100</f>
        <v>25000.043600000001</v>
      </c>
      <c r="N102" s="744">
        <f>N97+N100</f>
        <v>25000.043000000001</v>
      </c>
      <c r="O102" s="760">
        <f t="shared" si="17"/>
        <v>0.34641016116427092</v>
      </c>
      <c r="P102" s="777">
        <f>P97+P100</f>
        <v>38</v>
      </c>
      <c r="Q102" s="762">
        <f>(0.34848*((753.8+754.4)/2)-0.009*((52.7+54)/2)*EXP(0.0612*((21.4+21.6)/2)))/(273.15+((21.4+21.6)/2))</f>
        <v>0.88579296619932124</v>
      </c>
      <c r="R102" s="744" t="str">
        <f>R97&amp;"-
 "&amp;R100</f>
        <v>M-022-
 M-025</v>
      </c>
      <c r="S102" s="744" t="s">
        <v>63</v>
      </c>
      <c r="T102" s="965"/>
      <c r="U102" s="369" t="s">
        <v>84</v>
      </c>
      <c r="V102" s="510" t="s">
        <v>84</v>
      </c>
      <c r="AV102" s="50"/>
      <c r="AW102" s="50"/>
      <c r="AX102" s="50"/>
    </row>
    <row r="103" spans="1:50" ht="50.1" customHeight="1" x14ac:dyDescent="0.2">
      <c r="B103" s="880"/>
      <c r="C103" s="645" t="str">
        <f>C97&amp;" "&amp;C98&amp;" "&amp;C100</f>
        <v>F1 20 kg B F1 10 kg C F1 5 kg E</v>
      </c>
      <c r="D103" s="744" t="s">
        <v>46</v>
      </c>
      <c r="E103" s="744" t="str">
        <f>E97&amp;" "&amp;E98&amp;" "&amp;E100</f>
        <v>Kern Accurate Accurate</v>
      </c>
      <c r="F103" s="744" t="str">
        <f>F97&amp;" "&amp;F98&amp;" "&amp;F100</f>
        <v>G 1934094 1913624 1913622</v>
      </c>
      <c r="G103" s="744" t="str">
        <f>G97&amp;" "&amp;G98&amp;" "&amp;G100</f>
        <v>20 B 10 C 5 E</v>
      </c>
      <c r="H103" s="455" t="str">
        <f>H97&amp;" "&amp;H98&amp;" "&amp;H100</f>
        <v>5411 5264 5266</v>
      </c>
      <c r="I103" s="455" t="str">
        <f>I97&amp;" "&amp;I98&amp;" "&amp;I100</f>
        <v>2021-09-02 2021-06-03 2021-06-08</v>
      </c>
      <c r="J103" s="744">
        <f>J97+J98+J100</f>
        <v>35000</v>
      </c>
      <c r="K103" s="455">
        <f>K97+K98+K100</f>
        <v>56.6</v>
      </c>
      <c r="L103" s="455">
        <f>L97+L98+L100</f>
        <v>35</v>
      </c>
      <c r="M103" s="744">
        <f>M97+M98+M100</f>
        <v>35000.056600000004</v>
      </c>
      <c r="N103" s="744">
        <f>N97+N98+N100</f>
        <v>35000.034999999996</v>
      </c>
      <c r="O103" s="760">
        <f t="shared" si="17"/>
        <v>12.470765818716856</v>
      </c>
      <c r="P103" s="777">
        <f>P97+P98+P100</f>
        <v>54</v>
      </c>
      <c r="Q103" s="762">
        <f>(0.34848*((753.8+754.4)/2)-0.009*((52.7+54)/2)*EXP(0.0612*((21.4+21.6)/2)))/(273.15+((21.4+21.6)/2))</f>
        <v>0.88579296619932124</v>
      </c>
      <c r="R103" s="744" t="str">
        <f>R97&amp;" "&amp;R98&amp;" "&amp;R100</f>
        <v>M-022 M-023 M-025</v>
      </c>
      <c r="S103" s="744" t="s">
        <v>63</v>
      </c>
      <c r="T103" s="965"/>
      <c r="U103" s="369" t="s">
        <v>84</v>
      </c>
      <c r="V103" s="510" t="s">
        <v>84</v>
      </c>
      <c r="AV103" s="50"/>
      <c r="AW103" s="50"/>
      <c r="AX103" s="50"/>
    </row>
    <row r="104" spans="1:50" ht="50.1" customHeight="1" thickBot="1" x14ac:dyDescent="0.25">
      <c r="B104" s="882"/>
      <c r="C104" s="645" t="str">
        <f>C95&amp;" "&amp;C96&amp;" "&amp;C97</f>
        <v>F1 20 kg F1 20 kg A F1 20 kg B</v>
      </c>
      <c r="D104" s="745" t="s">
        <v>46</v>
      </c>
      <c r="E104" s="744" t="str">
        <f>E95&amp;" "&amp;E96&amp;" "&amp;E97</f>
        <v>Kern Kern Kern</v>
      </c>
      <c r="F104" s="744" t="str">
        <f>F95&amp;" "&amp;F96&amp;" "&amp;F97</f>
        <v>G 1934093 G 1934095 G 1934094</v>
      </c>
      <c r="G104" s="744" t="str">
        <f>G95&amp;" "&amp;G96&amp;" "&amp;G97</f>
        <v>20 20 A 20 B</v>
      </c>
      <c r="H104" s="455" t="str">
        <f>H95&amp;" "&amp;H96&amp;" "&amp;H97</f>
        <v>5408 5410 5411</v>
      </c>
      <c r="I104" s="455" t="str">
        <f>I95&amp;" "&amp;I96&amp;" "&amp;I97</f>
        <v>2021-09-02 2021-09-02 2021-09-02</v>
      </c>
      <c r="J104" s="744">
        <f>J95+J96+J97</f>
        <v>60000</v>
      </c>
      <c r="K104" s="455">
        <f>K95+K96+K97</f>
        <v>71</v>
      </c>
      <c r="L104" s="455">
        <f>L95+L96+L97</f>
        <v>84</v>
      </c>
      <c r="M104" s="744">
        <f>M95+M96+M97</f>
        <v>60000.070999999996</v>
      </c>
      <c r="N104" s="744">
        <f>N95+N96+N97</f>
        <v>60000.084000000003</v>
      </c>
      <c r="O104" s="760">
        <f t="shared" si="17"/>
        <v>7.5055535030946059</v>
      </c>
      <c r="P104" s="777">
        <f>P95+P96+P97</f>
        <v>90</v>
      </c>
      <c r="Q104" s="762">
        <f>(0.34848*((753.8+754.4)/2)-0.009*((52.7+54)/2)*EXP(0.0612*((21.4+21.6)/2)))/(273.15+((21.4+21.6)/2))</f>
        <v>0.88579296619932124</v>
      </c>
      <c r="R104" s="744" t="str">
        <f>R95&amp;" "&amp;R96&amp;" "&amp;R97</f>
        <v>M-020 M-021 M-022</v>
      </c>
      <c r="S104" s="744" t="s">
        <v>63</v>
      </c>
      <c r="T104" s="965"/>
      <c r="U104" s="369" t="s">
        <v>84</v>
      </c>
      <c r="V104" s="510" t="s">
        <v>84</v>
      </c>
      <c r="AV104" s="50"/>
      <c r="AW104" s="50"/>
      <c r="AX104" s="50"/>
    </row>
    <row r="105" spans="1:50" ht="30" customHeight="1" x14ac:dyDescent="0.2">
      <c r="B105" s="818" t="s">
        <v>223</v>
      </c>
      <c r="C105" s="746" t="s">
        <v>224</v>
      </c>
      <c r="D105" s="747" t="s">
        <v>46</v>
      </c>
      <c r="E105" s="747" t="s">
        <v>189</v>
      </c>
      <c r="F105" s="747">
        <v>1913613</v>
      </c>
      <c r="G105" s="747">
        <v>1</v>
      </c>
      <c r="H105" s="455">
        <v>5726</v>
      </c>
      <c r="I105" s="748">
        <v>44594</v>
      </c>
      <c r="J105" s="747">
        <v>1</v>
      </c>
      <c r="K105" s="455">
        <v>3.3000000000000002E-2</v>
      </c>
      <c r="L105" s="455">
        <v>0.04</v>
      </c>
      <c r="M105" s="778">
        <f t="shared" ref="M105:M120" si="19">J105+(K105)/1000</f>
        <v>1.0000329999999999</v>
      </c>
      <c r="N105" s="778">
        <f t="shared" ref="N105:N122" si="20">J105+(L105)/1000</f>
        <v>1.00004</v>
      </c>
      <c r="O105" s="779">
        <f>(N105-M105)/SQRT(3)*1000</f>
        <v>4.0414518843794964E-3</v>
      </c>
      <c r="P105" s="747">
        <v>3.3000000000000002E-2</v>
      </c>
      <c r="Q105" s="455">
        <v>0.88031402349675059</v>
      </c>
      <c r="R105" s="747" t="s">
        <v>225</v>
      </c>
      <c r="S105" s="747" t="s">
        <v>63</v>
      </c>
      <c r="T105" s="965">
        <v>2</v>
      </c>
      <c r="U105" s="578"/>
      <c r="V105" s="646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V105" s="50"/>
      <c r="AW105" s="50"/>
      <c r="AX105" s="50"/>
    </row>
    <row r="106" spans="1:50" ht="30" customHeight="1" x14ac:dyDescent="0.2">
      <c r="B106" s="818"/>
      <c r="C106" s="746" t="s">
        <v>226</v>
      </c>
      <c r="D106" s="747" t="s">
        <v>46</v>
      </c>
      <c r="E106" s="747" t="s">
        <v>189</v>
      </c>
      <c r="F106" s="747">
        <v>1913613</v>
      </c>
      <c r="G106" s="747">
        <v>2</v>
      </c>
      <c r="H106" s="455">
        <v>5726</v>
      </c>
      <c r="I106" s="748">
        <v>44594</v>
      </c>
      <c r="J106" s="747">
        <v>2</v>
      </c>
      <c r="K106" s="455">
        <v>2.1000000000000001E-2</v>
      </c>
      <c r="L106" s="455">
        <v>0.02</v>
      </c>
      <c r="M106" s="778">
        <f t="shared" si="19"/>
        <v>2.0000209999999998</v>
      </c>
      <c r="N106" s="778">
        <f t="shared" si="20"/>
        <v>2.0000200000000001</v>
      </c>
      <c r="O106" s="779">
        <f t="shared" ref="O106:O126" si="21">(N106-M106)/SQRT(3)*1000</f>
        <v>-5.773502690139317E-4</v>
      </c>
      <c r="P106" s="747">
        <v>0.04</v>
      </c>
      <c r="Q106" s="455">
        <v>0.88031402349675059</v>
      </c>
      <c r="R106" s="747" t="s">
        <v>225</v>
      </c>
      <c r="S106" s="747" t="s">
        <v>63</v>
      </c>
      <c r="T106" s="965"/>
      <c r="U106" s="578"/>
      <c r="V106" s="646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V106" s="50"/>
      <c r="AW106" s="50"/>
      <c r="AX106" s="50"/>
    </row>
    <row r="107" spans="1:50" ht="30" customHeight="1" x14ac:dyDescent="0.2">
      <c r="B107" s="818"/>
      <c r="C107" s="746" t="s">
        <v>227</v>
      </c>
      <c r="D107" s="747" t="s">
        <v>46</v>
      </c>
      <c r="E107" s="747" t="s">
        <v>189</v>
      </c>
      <c r="F107" s="747">
        <v>1913613</v>
      </c>
      <c r="G107" s="747" t="s">
        <v>228</v>
      </c>
      <c r="H107" s="455">
        <v>5726</v>
      </c>
      <c r="I107" s="748">
        <v>44594</v>
      </c>
      <c r="J107" s="747">
        <v>2</v>
      </c>
      <c r="K107" s="455">
        <v>5.7000000000000002E-2</v>
      </c>
      <c r="L107" s="455">
        <v>0.06</v>
      </c>
      <c r="M107" s="778">
        <f t="shared" si="19"/>
        <v>2.000057</v>
      </c>
      <c r="N107" s="778">
        <f t="shared" si="20"/>
        <v>2.0000599999999999</v>
      </c>
      <c r="O107" s="779">
        <f t="shared" si="21"/>
        <v>1.732050807554585E-3</v>
      </c>
      <c r="P107" s="747">
        <v>0.04</v>
      </c>
      <c r="Q107" s="455">
        <v>0.88031402349675059</v>
      </c>
      <c r="R107" s="747" t="s">
        <v>225</v>
      </c>
      <c r="S107" s="747" t="s">
        <v>63</v>
      </c>
      <c r="T107" s="965"/>
      <c r="U107" s="578"/>
      <c r="V107" s="646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V107" s="50"/>
      <c r="AW107" s="50"/>
      <c r="AX107" s="50"/>
    </row>
    <row r="108" spans="1:50" ht="30" customHeight="1" x14ac:dyDescent="0.2">
      <c r="B108" s="818"/>
      <c r="C108" s="746" t="s">
        <v>229</v>
      </c>
      <c r="D108" s="747" t="s">
        <v>46</v>
      </c>
      <c r="E108" s="747" t="s">
        <v>189</v>
      </c>
      <c r="F108" s="747">
        <v>1913613</v>
      </c>
      <c r="G108" s="747">
        <v>5</v>
      </c>
      <c r="H108" s="455">
        <v>5726</v>
      </c>
      <c r="I108" s="748">
        <v>44594</v>
      </c>
      <c r="J108" s="747">
        <v>5</v>
      </c>
      <c r="K108" s="455">
        <v>1.2E-2</v>
      </c>
      <c r="L108" s="455">
        <v>0</v>
      </c>
      <c r="M108" s="778">
        <f t="shared" si="19"/>
        <v>5.0000119999999999</v>
      </c>
      <c r="N108" s="778">
        <f t="shared" si="20"/>
        <v>5</v>
      </c>
      <c r="O108" s="779">
        <f t="shared" si="21"/>
        <v>-6.92820323021834E-3</v>
      </c>
      <c r="P108" s="747">
        <v>5.2999999999999999E-2</v>
      </c>
      <c r="Q108" s="455">
        <v>0.88031402349675059</v>
      </c>
      <c r="R108" s="747" t="s">
        <v>225</v>
      </c>
      <c r="S108" s="747" t="s">
        <v>63</v>
      </c>
      <c r="T108" s="965"/>
      <c r="U108" s="578"/>
      <c r="V108" s="646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</row>
    <row r="109" spans="1:50" ht="30" customHeight="1" x14ac:dyDescent="0.2">
      <c r="B109" s="818"/>
      <c r="C109" s="746" t="s">
        <v>230</v>
      </c>
      <c r="D109" s="747" t="s">
        <v>46</v>
      </c>
      <c r="E109" s="747" t="s">
        <v>189</v>
      </c>
      <c r="F109" s="747">
        <v>1913613</v>
      </c>
      <c r="G109" s="747">
        <v>10</v>
      </c>
      <c r="H109" s="455">
        <v>5726</v>
      </c>
      <c r="I109" s="748">
        <v>44594</v>
      </c>
      <c r="J109" s="747">
        <v>10</v>
      </c>
      <c r="K109" s="455">
        <v>5.6000000000000001E-2</v>
      </c>
      <c r="L109" s="455">
        <v>0.05</v>
      </c>
      <c r="M109" s="778">
        <f t="shared" si="19"/>
        <v>10.000056000000001</v>
      </c>
      <c r="N109" s="778">
        <f t="shared" si="20"/>
        <v>10.00005</v>
      </c>
      <c r="O109" s="779">
        <f t="shared" si="21"/>
        <v>-3.4641016156219599E-3</v>
      </c>
      <c r="P109" s="747">
        <v>6.7000000000000004E-2</v>
      </c>
      <c r="Q109" s="455">
        <v>0.88031402349675059</v>
      </c>
      <c r="R109" s="747" t="s">
        <v>225</v>
      </c>
      <c r="S109" s="747" t="s">
        <v>63</v>
      </c>
      <c r="T109" s="965"/>
      <c r="U109" s="578"/>
      <c r="V109" s="646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</row>
    <row r="110" spans="1:50" ht="30" customHeight="1" x14ac:dyDescent="0.2">
      <c r="B110" s="818"/>
      <c r="C110" s="746" t="s">
        <v>231</v>
      </c>
      <c r="D110" s="747" t="s">
        <v>46</v>
      </c>
      <c r="E110" s="747" t="s">
        <v>189</v>
      </c>
      <c r="F110" s="747">
        <v>1913613</v>
      </c>
      <c r="G110" s="747">
        <v>20</v>
      </c>
      <c r="H110" s="455">
        <v>5726</v>
      </c>
      <c r="I110" s="748">
        <v>44594</v>
      </c>
      <c r="J110" s="747">
        <v>20</v>
      </c>
      <c r="K110" s="455">
        <v>0</v>
      </c>
      <c r="L110" s="455">
        <v>-0.01</v>
      </c>
      <c r="M110" s="778">
        <f t="shared" si="19"/>
        <v>20</v>
      </c>
      <c r="N110" s="778">
        <f t="shared" si="20"/>
        <v>19.99999</v>
      </c>
      <c r="O110" s="779">
        <f t="shared" si="21"/>
        <v>-5.7735026916776863E-3</v>
      </c>
      <c r="P110" s="747">
        <v>8.3000000000000004E-2</v>
      </c>
      <c r="Q110" s="455">
        <v>0.88031402349675059</v>
      </c>
      <c r="R110" s="747" t="s">
        <v>225</v>
      </c>
      <c r="S110" s="747" t="s">
        <v>63</v>
      </c>
      <c r="T110" s="965"/>
      <c r="U110" s="578"/>
      <c r="V110" s="646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</row>
    <row r="111" spans="1:50" ht="30" customHeight="1" x14ac:dyDescent="0.2">
      <c r="B111" s="818"/>
      <c r="C111" s="746" t="s">
        <v>232</v>
      </c>
      <c r="D111" s="747" t="s">
        <v>46</v>
      </c>
      <c r="E111" s="747" t="s">
        <v>189</v>
      </c>
      <c r="F111" s="747">
        <v>1913613</v>
      </c>
      <c r="G111" s="747" t="s">
        <v>233</v>
      </c>
      <c r="H111" s="455">
        <v>5726</v>
      </c>
      <c r="I111" s="748">
        <v>44594</v>
      </c>
      <c r="J111" s="747">
        <v>20</v>
      </c>
      <c r="K111" s="455">
        <v>0.108</v>
      </c>
      <c r="L111" s="455">
        <v>0.08</v>
      </c>
      <c r="M111" s="778">
        <f t="shared" si="19"/>
        <v>20.000108000000001</v>
      </c>
      <c r="N111" s="778">
        <f t="shared" si="20"/>
        <v>20.000080000000001</v>
      </c>
      <c r="O111" s="779">
        <f t="shared" si="21"/>
        <v>-1.6165807537517986E-2</v>
      </c>
      <c r="P111" s="747">
        <v>8.3000000000000004E-2</v>
      </c>
      <c r="Q111" s="455">
        <v>0.88031402349675059</v>
      </c>
      <c r="R111" s="747" t="s">
        <v>225</v>
      </c>
      <c r="S111" s="747" t="s">
        <v>63</v>
      </c>
      <c r="T111" s="965"/>
      <c r="U111" s="578"/>
      <c r="V111" s="646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</row>
    <row r="112" spans="1:50" ht="30" customHeight="1" x14ac:dyDescent="0.2">
      <c r="B112" s="818"/>
      <c r="C112" s="746" t="s">
        <v>234</v>
      </c>
      <c r="D112" s="747" t="s">
        <v>46</v>
      </c>
      <c r="E112" s="747" t="s">
        <v>189</v>
      </c>
      <c r="F112" s="747">
        <v>1913613</v>
      </c>
      <c r="G112" s="747">
        <v>50</v>
      </c>
      <c r="H112" s="455">
        <v>5726</v>
      </c>
      <c r="I112" s="748">
        <v>44594</v>
      </c>
      <c r="J112" s="747">
        <v>50</v>
      </c>
      <c r="K112" s="455">
        <v>0.14000000000000001</v>
      </c>
      <c r="L112" s="455">
        <v>0.01</v>
      </c>
      <c r="M112" s="778">
        <f t="shared" si="19"/>
        <v>50.000140000000002</v>
      </c>
      <c r="N112" s="778">
        <f t="shared" si="20"/>
        <v>50.000010000000003</v>
      </c>
      <c r="O112" s="779">
        <f t="shared" si="21"/>
        <v>-7.5055534993861084E-2</v>
      </c>
      <c r="P112" s="747">
        <v>0.1</v>
      </c>
      <c r="Q112" s="455">
        <v>0.88031402349675059</v>
      </c>
      <c r="R112" s="747" t="s">
        <v>225</v>
      </c>
      <c r="S112" s="747" t="s">
        <v>63</v>
      </c>
      <c r="T112" s="965"/>
      <c r="U112" s="578"/>
      <c r="V112" s="646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</row>
    <row r="113" spans="1:50" ht="30" customHeight="1" x14ac:dyDescent="0.2">
      <c r="B113" s="818"/>
      <c r="C113" s="746" t="s">
        <v>235</v>
      </c>
      <c r="D113" s="747" t="s">
        <v>46</v>
      </c>
      <c r="E113" s="747" t="s">
        <v>189</v>
      </c>
      <c r="F113" s="747">
        <v>1913613</v>
      </c>
      <c r="G113" s="747">
        <v>100</v>
      </c>
      <c r="H113" s="455">
        <v>5726</v>
      </c>
      <c r="I113" s="748">
        <v>44594</v>
      </c>
      <c r="J113" s="747">
        <v>100</v>
      </c>
      <c r="K113" s="455">
        <v>0.23</v>
      </c>
      <c r="L113" s="455">
        <v>0.22</v>
      </c>
      <c r="M113" s="778">
        <f t="shared" si="19"/>
        <v>100.00023</v>
      </c>
      <c r="N113" s="778">
        <f t="shared" si="20"/>
        <v>100.00022</v>
      </c>
      <c r="O113" s="779">
        <f t="shared" si="21"/>
        <v>-5.7735026937288467E-3</v>
      </c>
      <c r="P113" s="747">
        <v>0.17</v>
      </c>
      <c r="Q113" s="455">
        <v>0.88031402349675059</v>
      </c>
      <c r="R113" s="747" t="s">
        <v>225</v>
      </c>
      <c r="S113" s="747" t="s">
        <v>63</v>
      </c>
      <c r="T113" s="965"/>
      <c r="U113" s="578"/>
      <c r="V113" s="646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</row>
    <row r="114" spans="1:50" ht="30" customHeight="1" x14ac:dyDescent="0.2">
      <c r="B114" s="818"/>
      <c r="C114" s="746" t="s">
        <v>236</v>
      </c>
      <c r="D114" s="747" t="s">
        <v>46</v>
      </c>
      <c r="E114" s="747" t="s">
        <v>189</v>
      </c>
      <c r="F114" s="747">
        <v>1913613</v>
      </c>
      <c r="G114" s="747">
        <v>200</v>
      </c>
      <c r="H114" s="455">
        <v>5726</v>
      </c>
      <c r="I114" s="748">
        <v>44594</v>
      </c>
      <c r="J114" s="747">
        <v>200</v>
      </c>
      <c r="K114" s="455">
        <v>0.14000000000000001</v>
      </c>
      <c r="L114" s="780">
        <v>0</v>
      </c>
      <c r="M114" s="778">
        <f t="shared" si="19"/>
        <v>200.00013999999999</v>
      </c>
      <c r="N114" s="778">
        <f t="shared" si="20"/>
        <v>200</v>
      </c>
      <c r="O114" s="779">
        <f t="shared" si="21"/>
        <v>-8.0829037679385277E-2</v>
      </c>
      <c r="P114" s="747">
        <v>0.33</v>
      </c>
      <c r="Q114" s="455">
        <v>0.88031402349675059</v>
      </c>
      <c r="R114" s="747" t="s">
        <v>225</v>
      </c>
      <c r="S114" s="747" t="s">
        <v>63</v>
      </c>
      <c r="T114" s="965"/>
      <c r="U114" s="578"/>
      <c r="V114" s="646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</row>
    <row r="115" spans="1:50" ht="30" customHeight="1" x14ac:dyDescent="0.2">
      <c r="B115" s="818"/>
      <c r="C115" s="746" t="s">
        <v>237</v>
      </c>
      <c r="D115" s="747" t="s">
        <v>46</v>
      </c>
      <c r="E115" s="747" t="s">
        <v>189</v>
      </c>
      <c r="F115" s="747">
        <v>1913613</v>
      </c>
      <c r="G115" s="747" t="s">
        <v>238</v>
      </c>
      <c r="H115" s="455">
        <v>5726</v>
      </c>
      <c r="I115" s="748">
        <v>44594</v>
      </c>
      <c r="J115" s="747">
        <v>200</v>
      </c>
      <c r="K115" s="455">
        <v>0.3</v>
      </c>
      <c r="L115" s="455">
        <v>0.3</v>
      </c>
      <c r="M115" s="778">
        <f t="shared" si="19"/>
        <v>200.00030000000001</v>
      </c>
      <c r="N115" s="778">
        <f t="shared" si="20"/>
        <v>200.00030000000001</v>
      </c>
      <c r="O115" s="779">
        <f t="shared" si="21"/>
        <v>0</v>
      </c>
      <c r="P115" s="747">
        <v>0.33</v>
      </c>
      <c r="Q115" s="455">
        <v>0.88031402349675059</v>
      </c>
      <c r="R115" s="747" t="s">
        <v>225</v>
      </c>
      <c r="S115" s="747" t="s">
        <v>63</v>
      </c>
      <c r="T115" s="965"/>
      <c r="U115" s="578"/>
      <c r="V115" s="646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</row>
    <row r="116" spans="1:50" ht="30" customHeight="1" x14ac:dyDescent="0.2">
      <c r="B116" s="818"/>
      <c r="C116" s="746" t="s">
        <v>239</v>
      </c>
      <c r="D116" s="747" t="s">
        <v>46</v>
      </c>
      <c r="E116" s="747" t="s">
        <v>189</v>
      </c>
      <c r="F116" s="747">
        <v>1913613</v>
      </c>
      <c r="G116" s="747">
        <v>500</v>
      </c>
      <c r="H116" s="455">
        <v>5726</v>
      </c>
      <c r="I116" s="748">
        <v>44594</v>
      </c>
      <c r="J116" s="747">
        <v>500</v>
      </c>
      <c r="K116" s="455">
        <v>0.68</v>
      </c>
      <c r="L116" s="455">
        <v>0.3</v>
      </c>
      <c r="M116" s="778">
        <f t="shared" si="19"/>
        <v>500.00067999999999</v>
      </c>
      <c r="N116" s="778">
        <f t="shared" si="20"/>
        <v>500.00029999999998</v>
      </c>
      <c r="O116" s="779">
        <f t="shared" si="21"/>
        <v>-0.21939310229605904</v>
      </c>
      <c r="P116" s="747">
        <v>0.83</v>
      </c>
      <c r="Q116" s="455">
        <v>0.88031402349675059</v>
      </c>
      <c r="R116" s="747" t="s">
        <v>225</v>
      </c>
      <c r="S116" s="747" t="s">
        <v>63</v>
      </c>
      <c r="T116" s="965"/>
      <c r="U116" s="578"/>
      <c r="V116" s="646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</row>
    <row r="117" spans="1:50" ht="30" customHeight="1" x14ac:dyDescent="0.2">
      <c r="B117" s="818"/>
      <c r="C117" s="746" t="s">
        <v>240</v>
      </c>
      <c r="D117" s="747" t="s">
        <v>46</v>
      </c>
      <c r="E117" s="747" t="s">
        <v>189</v>
      </c>
      <c r="F117" s="747">
        <v>1913613</v>
      </c>
      <c r="G117" s="747">
        <v>1</v>
      </c>
      <c r="H117" s="455">
        <v>5726</v>
      </c>
      <c r="I117" s="748">
        <v>44594</v>
      </c>
      <c r="J117" s="747">
        <v>1000</v>
      </c>
      <c r="K117" s="455">
        <v>1.6</v>
      </c>
      <c r="L117" s="455">
        <v>1.7</v>
      </c>
      <c r="M117" s="778">
        <f t="shared" si="19"/>
        <v>1000.0016000000001</v>
      </c>
      <c r="N117" s="778">
        <f t="shared" si="20"/>
        <v>1000.0017</v>
      </c>
      <c r="O117" s="779">
        <f t="shared" si="21"/>
        <v>5.7735026904469904E-2</v>
      </c>
      <c r="P117" s="747">
        <v>1.7</v>
      </c>
      <c r="Q117" s="455">
        <v>0.88031402349675059</v>
      </c>
      <c r="R117" s="747" t="s">
        <v>225</v>
      </c>
      <c r="S117" s="747" t="s">
        <v>63</v>
      </c>
      <c r="T117" s="965"/>
      <c r="U117" s="578"/>
      <c r="V117" s="646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</row>
    <row r="118" spans="1:50" ht="30" customHeight="1" x14ac:dyDescent="0.2">
      <c r="B118" s="818"/>
      <c r="C118" s="746" t="s">
        <v>241</v>
      </c>
      <c r="D118" s="747" t="s">
        <v>46</v>
      </c>
      <c r="E118" s="747" t="s">
        <v>189</v>
      </c>
      <c r="F118" s="747">
        <v>1913613</v>
      </c>
      <c r="G118" s="747">
        <v>2</v>
      </c>
      <c r="H118" s="455">
        <v>5726</v>
      </c>
      <c r="I118" s="748">
        <v>44594</v>
      </c>
      <c r="J118" s="747">
        <v>2000</v>
      </c>
      <c r="K118" s="455">
        <v>4</v>
      </c>
      <c r="L118" s="455">
        <v>2.9</v>
      </c>
      <c r="M118" s="778">
        <f t="shared" si="19"/>
        <v>2000.0039999999999</v>
      </c>
      <c r="N118" s="778">
        <f t="shared" si="20"/>
        <v>2000.0029</v>
      </c>
      <c r="O118" s="779">
        <f t="shared" si="21"/>
        <v>-0.63508529608044317</v>
      </c>
      <c r="P118" s="747">
        <v>3.3</v>
      </c>
      <c r="Q118" s="455">
        <v>0.88031402349675059</v>
      </c>
      <c r="R118" s="747" t="s">
        <v>225</v>
      </c>
      <c r="S118" s="747" t="s">
        <v>63</v>
      </c>
      <c r="T118" s="965"/>
      <c r="U118" s="578"/>
      <c r="V118" s="646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</row>
    <row r="119" spans="1:50" ht="30" customHeight="1" x14ac:dyDescent="0.2">
      <c r="B119" s="818"/>
      <c r="C119" s="746" t="s">
        <v>242</v>
      </c>
      <c r="D119" s="747" t="s">
        <v>46</v>
      </c>
      <c r="E119" s="747" t="s">
        <v>189</v>
      </c>
      <c r="F119" s="747">
        <v>1913613</v>
      </c>
      <c r="G119" s="747" t="s">
        <v>228</v>
      </c>
      <c r="H119" s="455">
        <v>5726</v>
      </c>
      <c r="I119" s="748">
        <v>44594</v>
      </c>
      <c r="J119" s="747">
        <v>2000</v>
      </c>
      <c r="K119" s="455">
        <v>1.4</v>
      </c>
      <c r="L119" s="455">
        <v>2.2999999999999998</v>
      </c>
      <c r="M119" s="778">
        <f t="shared" si="19"/>
        <v>2000.0014000000001</v>
      </c>
      <c r="N119" s="778">
        <f t="shared" si="20"/>
        <v>2000.0023000000001</v>
      </c>
      <c r="O119" s="779">
        <f t="shared" si="21"/>
        <v>0.51961524227150335</v>
      </c>
      <c r="P119" s="747">
        <v>3.3</v>
      </c>
      <c r="Q119" s="455">
        <v>0.88031402349675059</v>
      </c>
      <c r="R119" s="747" t="s">
        <v>225</v>
      </c>
      <c r="S119" s="747" t="s">
        <v>63</v>
      </c>
      <c r="T119" s="965"/>
      <c r="U119" s="578"/>
      <c r="V119" s="646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</row>
    <row r="120" spans="1:50" ht="26.25" customHeight="1" thickBot="1" x14ac:dyDescent="0.25">
      <c r="B120" s="818"/>
      <c r="C120" s="781" t="s">
        <v>243</v>
      </c>
      <c r="D120" s="782" t="s">
        <v>46</v>
      </c>
      <c r="E120" s="782" t="s">
        <v>189</v>
      </c>
      <c r="F120" s="782">
        <v>1913613</v>
      </c>
      <c r="G120" s="782">
        <v>5</v>
      </c>
      <c r="H120" s="783">
        <v>5726</v>
      </c>
      <c r="I120" s="784">
        <v>44594</v>
      </c>
      <c r="J120" s="782">
        <v>5000</v>
      </c>
      <c r="K120" s="783">
        <v>-0.9</v>
      </c>
      <c r="L120" s="783">
        <v>16.399999999999999</v>
      </c>
      <c r="M120" s="785">
        <f t="shared" si="19"/>
        <v>4999.9991</v>
      </c>
      <c r="N120" s="785">
        <f t="shared" si="20"/>
        <v>5000.0164000000004</v>
      </c>
      <c r="O120" s="786">
        <f t="shared" si="21"/>
        <v>9.9881596572300513</v>
      </c>
      <c r="P120" s="782">
        <v>8.3000000000000007</v>
      </c>
      <c r="Q120" s="783">
        <v>0.88031402349675059</v>
      </c>
      <c r="R120" s="782" t="s">
        <v>225</v>
      </c>
      <c r="S120" s="782" t="s">
        <v>63</v>
      </c>
      <c r="T120" s="965"/>
      <c r="U120" s="578"/>
      <c r="V120" s="646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</row>
    <row r="121" spans="1:50" ht="30" customHeight="1" x14ac:dyDescent="0.2">
      <c r="B121" s="846" t="s">
        <v>244</v>
      </c>
      <c r="C121" s="787">
        <v>220</v>
      </c>
      <c r="D121" s="788" t="str">
        <f>D44</f>
        <v>E 2</v>
      </c>
      <c r="E121" s="788" t="str">
        <f>E44</f>
        <v>Sartorius</v>
      </c>
      <c r="F121" s="788">
        <f>F44</f>
        <v>27129360</v>
      </c>
      <c r="G121" s="788" t="s">
        <v>245</v>
      </c>
      <c r="H121" s="454">
        <f>F44</f>
        <v>27129360</v>
      </c>
      <c r="I121" s="789">
        <f>I45</f>
        <v>44483</v>
      </c>
      <c r="J121" s="788">
        <f>C121</f>
        <v>220</v>
      </c>
      <c r="K121" s="454">
        <f>K49+K45</f>
        <v>0.157</v>
      </c>
      <c r="L121" s="454">
        <f>L49+L45</f>
        <v>0.17100000000000001</v>
      </c>
      <c r="M121" s="790">
        <f t="shared" ref="M121:M126" si="22">J121+(K121)/1000</f>
        <v>220.000157</v>
      </c>
      <c r="N121" s="790">
        <f t="shared" si="20"/>
        <v>220.00017099999999</v>
      </c>
      <c r="O121" s="791">
        <f t="shared" si="21"/>
        <v>8.082903764656672E-3</v>
      </c>
      <c r="P121" s="792">
        <f>P49+P45</f>
        <v>0.125</v>
      </c>
      <c r="Q121" s="793">
        <f t="shared" ref="Q121:S122" si="23">Q45</f>
        <v>0.88957844095478944</v>
      </c>
      <c r="R121" s="794" t="str">
        <f t="shared" si="23"/>
        <v>M-001</v>
      </c>
      <c r="S121" s="795" t="str">
        <f t="shared" si="23"/>
        <v xml:space="preserve">INM </v>
      </c>
      <c r="T121" s="867">
        <f>T105</f>
        <v>2</v>
      </c>
      <c r="U121" s="578"/>
      <c r="V121" s="646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</row>
    <row r="122" spans="1:50" ht="30" customHeight="1" x14ac:dyDescent="0.2">
      <c r="B122" s="847"/>
      <c r="C122" s="746">
        <v>1200</v>
      </c>
      <c r="D122" s="747" t="s">
        <v>59</v>
      </c>
      <c r="E122" s="747" t="s">
        <v>60</v>
      </c>
      <c r="F122" s="747">
        <v>27129360</v>
      </c>
      <c r="G122" s="747" t="s">
        <v>246</v>
      </c>
      <c r="H122" s="455">
        <v>1393</v>
      </c>
      <c r="I122" s="748">
        <v>43228</v>
      </c>
      <c r="J122" s="747">
        <v>1200</v>
      </c>
      <c r="K122" s="455">
        <f>K51+K45</f>
        <v>0.70699999999999996</v>
      </c>
      <c r="L122" s="455">
        <f>L51+L45</f>
        <v>0.71099999999999997</v>
      </c>
      <c r="M122" s="778">
        <f t="shared" si="22"/>
        <v>1200.0007069999999</v>
      </c>
      <c r="N122" s="778">
        <f t="shared" si="20"/>
        <v>1200.0007109999999</v>
      </c>
      <c r="O122" s="779">
        <f t="shared" si="21"/>
        <v>2.3094010709278261E-3</v>
      </c>
      <c r="P122" s="796">
        <f>P51+P45</f>
        <v>0.52500000000000002</v>
      </c>
      <c r="Q122" s="797">
        <f t="shared" si="23"/>
        <v>0.88957844095478944</v>
      </c>
      <c r="R122" s="798" t="str">
        <f t="shared" si="23"/>
        <v>M-001</v>
      </c>
      <c r="S122" s="799" t="str">
        <f t="shared" si="23"/>
        <v xml:space="preserve">INM </v>
      </c>
      <c r="T122" s="867"/>
      <c r="U122" s="578"/>
      <c r="V122" s="646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</row>
    <row r="123" spans="1:50" ht="30" customHeight="1" x14ac:dyDescent="0.2">
      <c r="B123" s="847"/>
      <c r="C123" s="746">
        <v>10200</v>
      </c>
      <c r="D123" s="747" t="s">
        <v>46</v>
      </c>
      <c r="E123" s="747" t="s">
        <v>189</v>
      </c>
      <c r="F123" s="747">
        <v>1913613</v>
      </c>
      <c r="G123" s="747" t="s">
        <v>247</v>
      </c>
      <c r="H123" s="455" t="s">
        <v>84</v>
      </c>
      <c r="I123" s="748" t="s">
        <v>84</v>
      </c>
      <c r="J123" s="747">
        <v>10200</v>
      </c>
      <c r="K123" s="455">
        <f>K98+K118</f>
        <v>17</v>
      </c>
      <c r="L123" s="455">
        <f>L98+L118</f>
        <v>-5.0999999999999996</v>
      </c>
      <c r="M123" s="778">
        <f t="shared" si="22"/>
        <v>10200.017</v>
      </c>
      <c r="N123" s="778">
        <f>J123+(L123)/1000</f>
        <v>10199.9949</v>
      </c>
      <c r="O123" s="779">
        <f t="shared" si="21"/>
        <v>-12.759440949169704</v>
      </c>
      <c r="P123" s="796">
        <f>P98+P114</f>
        <v>16.329999999999998</v>
      </c>
      <c r="Q123" s="455">
        <f>Q106</f>
        <v>0.88031402349675059</v>
      </c>
      <c r="R123" s="747" t="str">
        <f>R109</f>
        <v>M-018</v>
      </c>
      <c r="S123" s="799" t="str">
        <f>S47</f>
        <v xml:space="preserve">INM </v>
      </c>
      <c r="T123" s="867"/>
      <c r="U123" s="578"/>
      <c r="V123" s="646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</row>
    <row r="124" spans="1:50" ht="30" customHeight="1" x14ac:dyDescent="0.2">
      <c r="B124" s="847"/>
      <c r="C124" s="645">
        <v>12000</v>
      </c>
      <c r="D124" s="744" t="s">
        <v>46</v>
      </c>
      <c r="E124" s="744" t="s">
        <v>189</v>
      </c>
      <c r="F124" s="744" t="s">
        <v>84</v>
      </c>
      <c r="G124" s="744" t="s">
        <v>248</v>
      </c>
      <c r="H124" s="455" t="s">
        <v>84</v>
      </c>
      <c r="I124" s="748" t="s">
        <v>84</v>
      </c>
      <c r="J124" s="747">
        <v>12000</v>
      </c>
      <c r="K124" s="455">
        <f>K98+K106</f>
        <v>13.021000000000001</v>
      </c>
      <c r="L124" s="455">
        <f>L98+L106</f>
        <v>-7.98</v>
      </c>
      <c r="M124" s="778">
        <f t="shared" si="22"/>
        <v>12000.013021000001</v>
      </c>
      <c r="N124" s="778">
        <f>J124+(L124)/1000</f>
        <v>11999.99202</v>
      </c>
      <c r="O124" s="779">
        <f t="shared" si="21"/>
        <v>-12.124933003816453</v>
      </c>
      <c r="P124" s="800">
        <f>P98+P118</f>
        <v>19.3</v>
      </c>
      <c r="Q124" s="455">
        <f>Q107</f>
        <v>0.88031402349675059</v>
      </c>
      <c r="R124" s="747" t="str">
        <f>R110</f>
        <v>M-018</v>
      </c>
      <c r="S124" s="799" t="str">
        <f>S48</f>
        <v xml:space="preserve">INM </v>
      </c>
      <c r="T124" s="867"/>
      <c r="U124" s="578"/>
      <c r="V124" s="646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</row>
    <row r="125" spans="1:50" ht="30" customHeight="1" x14ac:dyDescent="0.2">
      <c r="B125" s="847"/>
      <c r="C125" s="746">
        <v>24000</v>
      </c>
      <c r="D125" s="747" t="s">
        <v>46</v>
      </c>
      <c r="E125" s="747" t="s">
        <v>189</v>
      </c>
      <c r="F125" s="747" t="s">
        <v>84</v>
      </c>
      <c r="G125" s="747" t="s">
        <v>249</v>
      </c>
      <c r="H125" s="455" t="s">
        <v>84</v>
      </c>
      <c r="I125" s="748" t="s">
        <v>84</v>
      </c>
      <c r="J125" s="747">
        <v>24000</v>
      </c>
      <c r="K125" s="455">
        <f>K97+K106+K107</f>
        <v>37.078000000000003</v>
      </c>
      <c r="L125" s="455">
        <f>L97+L106+L107</f>
        <v>40.080000000000005</v>
      </c>
      <c r="M125" s="778">
        <f t="shared" si="22"/>
        <v>24000.037078000001</v>
      </c>
      <c r="N125" s="778">
        <f>J125+(L125)/1000</f>
        <v>24000.040079999999</v>
      </c>
      <c r="O125" s="779">
        <f t="shared" si="21"/>
        <v>1.7332055067506413</v>
      </c>
      <c r="P125" s="800">
        <f>P97+P118+P119</f>
        <v>36.599999999999994</v>
      </c>
      <c r="Q125" s="455">
        <f>Q124</f>
        <v>0.88031402349675059</v>
      </c>
      <c r="R125" s="747" t="str">
        <f>R111</f>
        <v>M-018</v>
      </c>
      <c r="S125" s="799" t="str">
        <f>S49</f>
        <v xml:space="preserve">INM </v>
      </c>
      <c r="T125" s="867"/>
      <c r="U125" s="578"/>
      <c r="V125" s="646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</row>
    <row r="126" spans="1:50" ht="36" customHeight="1" thickBot="1" x14ac:dyDescent="0.25">
      <c r="B126" s="848"/>
      <c r="C126" s="801">
        <v>35000</v>
      </c>
      <c r="D126" s="802" t="s">
        <v>46</v>
      </c>
      <c r="E126" s="802" t="s">
        <v>189</v>
      </c>
      <c r="F126" s="802" t="s">
        <v>84</v>
      </c>
      <c r="G126" s="802" t="s">
        <v>250</v>
      </c>
      <c r="H126" s="456" t="s">
        <v>84</v>
      </c>
      <c r="I126" s="803" t="s">
        <v>84</v>
      </c>
      <c r="J126" s="802">
        <v>35000</v>
      </c>
      <c r="K126" s="456">
        <f>K97+K120+K98</f>
        <v>49.1</v>
      </c>
      <c r="L126" s="456">
        <f>L97+L120+L98</f>
        <v>48.4</v>
      </c>
      <c r="M126" s="804">
        <f t="shared" si="22"/>
        <v>35000.049099999997</v>
      </c>
      <c r="N126" s="804">
        <f>J126+(L126)/1000</f>
        <v>35000.0484</v>
      </c>
      <c r="O126" s="805">
        <f t="shared" si="21"/>
        <v>-0.40414518662472404</v>
      </c>
      <c r="P126" s="806">
        <f>P97+P120+P98</f>
        <v>54.3</v>
      </c>
      <c r="Q126" s="456">
        <f>Q125</f>
        <v>0.88031402349675059</v>
      </c>
      <c r="R126" s="802" t="str">
        <f>R112</f>
        <v>M-018</v>
      </c>
      <c r="S126" s="807" t="str">
        <f>S50</f>
        <v xml:space="preserve">INM </v>
      </c>
      <c r="T126" s="868"/>
      <c r="U126" s="647"/>
      <c r="V126" s="648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</row>
    <row r="127" spans="1:50" ht="30" customHeight="1" thickBot="1" x14ac:dyDescent="0.25">
      <c r="O127" s="45"/>
      <c r="P127" s="45"/>
      <c r="Q127" s="45"/>
      <c r="R127" s="45"/>
      <c r="U127" s="45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</row>
    <row r="128" spans="1:50" ht="30" customHeight="1" x14ac:dyDescent="0.25">
      <c r="A128" s="923" t="s">
        <v>251</v>
      </c>
      <c r="B128" s="924"/>
      <c r="C128" s="924"/>
      <c r="D128" s="924"/>
      <c r="E128" s="924"/>
      <c r="F128" s="924"/>
      <c r="G128" s="924"/>
      <c r="H128" s="924"/>
      <c r="I128" s="924"/>
      <c r="J128" s="924"/>
      <c r="K128" s="924"/>
      <c r="L128" s="924"/>
      <c r="M128" s="924"/>
      <c r="N128" s="924"/>
      <c r="O128" s="924"/>
      <c r="P128" s="924"/>
      <c r="Q128" s="925"/>
      <c r="R128" s="45"/>
      <c r="U128" s="45"/>
      <c r="V128" s="263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</row>
    <row r="129" spans="1:50" ht="30" customHeight="1" thickBot="1" x14ac:dyDescent="0.3">
      <c r="A129" s="926"/>
      <c r="B129" s="927"/>
      <c r="C129" s="927"/>
      <c r="D129" s="927"/>
      <c r="E129" s="927"/>
      <c r="F129" s="927"/>
      <c r="G129" s="927"/>
      <c r="H129" s="927"/>
      <c r="I129" s="927"/>
      <c r="J129" s="927"/>
      <c r="K129" s="927"/>
      <c r="L129" s="927"/>
      <c r="M129" s="927"/>
      <c r="N129" s="927"/>
      <c r="O129" s="927"/>
      <c r="P129" s="927"/>
      <c r="Q129" s="928"/>
      <c r="R129" s="45"/>
      <c r="T129" s="51"/>
      <c r="U129" s="45"/>
      <c r="V129" s="263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</row>
    <row r="130" spans="1:50" ht="30" customHeight="1" thickBot="1" x14ac:dyDescent="0.3">
      <c r="A130" s="933" t="s">
        <v>252</v>
      </c>
      <c r="B130" s="934"/>
      <c r="C130" s="934"/>
      <c r="D130" s="934"/>
      <c r="E130" s="934"/>
      <c r="F130" s="934"/>
      <c r="G130" s="934"/>
      <c r="H130" s="934"/>
      <c r="I130" s="934"/>
      <c r="J130" s="934"/>
      <c r="K130" s="934"/>
      <c r="L130" s="934"/>
      <c r="M130" s="934"/>
      <c r="N130" s="934"/>
      <c r="O130" s="934"/>
      <c r="P130" s="934"/>
      <c r="Q130" s="935"/>
      <c r="R130" s="45"/>
      <c r="T130" s="49"/>
      <c r="U130" s="45"/>
      <c r="V130" s="263"/>
    </row>
    <row r="131" spans="1:50" ht="30" customHeight="1" x14ac:dyDescent="0.25">
      <c r="A131" s="939" t="s">
        <v>253</v>
      </c>
      <c r="B131" s="940"/>
      <c r="C131" s="931" t="s">
        <v>5</v>
      </c>
      <c r="D131" s="931" t="s">
        <v>13</v>
      </c>
      <c r="E131" s="943" t="s">
        <v>254</v>
      </c>
      <c r="F131" s="943" t="s">
        <v>255</v>
      </c>
      <c r="G131" s="943" t="s">
        <v>256</v>
      </c>
      <c r="H131" s="943" t="s">
        <v>257</v>
      </c>
      <c r="I131" s="943" t="s">
        <v>258</v>
      </c>
      <c r="J131" s="943" t="s">
        <v>259</v>
      </c>
      <c r="K131" s="943" t="s">
        <v>7</v>
      </c>
      <c r="L131" s="951" t="s">
        <v>260</v>
      </c>
      <c r="N131" s="949" t="s">
        <v>5</v>
      </c>
      <c r="O131" s="939" t="s">
        <v>258</v>
      </c>
      <c r="P131" s="973"/>
      <c r="Q131" s="940"/>
      <c r="R131" s="45"/>
      <c r="T131" s="49"/>
      <c r="U131" s="45"/>
      <c r="V131" s="263"/>
    </row>
    <row r="132" spans="1:50" ht="30" customHeight="1" thickBot="1" x14ac:dyDescent="0.3">
      <c r="A132" s="941"/>
      <c r="B132" s="942"/>
      <c r="C132" s="932"/>
      <c r="D132" s="932"/>
      <c r="E132" s="944"/>
      <c r="F132" s="944"/>
      <c r="G132" s="944"/>
      <c r="H132" s="944"/>
      <c r="I132" s="944"/>
      <c r="J132" s="944"/>
      <c r="K132" s="944"/>
      <c r="L132" s="952"/>
      <c r="N132" s="950"/>
      <c r="O132" s="941"/>
      <c r="P132" s="974"/>
      <c r="Q132" s="942"/>
      <c r="R132" s="45"/>
      <c r="T132" s="49"/>
      <c r="U132" s="45"/>
      <c r="V132" s="263"/>
    </row>
    <row r="133" spans="1:50" ht="30" customHeight="1" thickBot="1" x14ac:dyDescent="0.3">
      <c r="O133" s="45"/>
      <c r="P133" s="45"/>
      <c r="Q133" s="45"/>
      <c r="R133" s="45"/>
      <c r="T133" s="49"/>
      <c r="U133" s="45"/>
      <c r="V133" s="263"/>
    </row>
    <row r="134" spans="1:50" ht="30" customHeight="1" thickBot="1" x14ac:dyDescent="0.3">
      <c r="A134" s="895" t="s">
        <v>261</v>
      </c>
      <c r="B134" s="896"/>
      <c r="C134" s="953" t="s">
        <v>262</v>
      </c>
      <c r="D134" s="828" t="s">
        <v>263</v>
      </c>
      <c r="E134" s="922" t="s">
        <v>264</v>
      </c>
      <c r="F134" s="403">
        <v>17.8</v>
      </c>
      <c r="G134" s="393">
        <v>0.1</v>
      </c>
      <c r="H134" s="394">
        <v>0.1</v>
      </c>
      <c r="I134" s="596">
        <v>0.2</v>
      </c>
      <c r="J134" s="892">
        <v>1.96</v>
      </c>
      <c r="K134" s="889">
        <v>44715</v>
      </c>
      <c r="L134" s="883" t="s">
        <v>539</v>
      </c>
      <c r="R134" s="45"/>
      <c r="S134" s="45"/>
      <c r="T134" s="45"/>
      <c r="U134" s="45"/>
      <c r="V134" s="263"/>
    </row>
    <row r="135" spans="1:50" ht="30" customHeight="1" x14ac:dyDescent="0.25">
      <c r="A135" s="897"/>
      <c r="B135" s="898"/>
      <c r="C135" s="954"/>
      <c r="D135" s="829"/>
      <c r="E135" s="838"/>
      <c r="F135" s="396">
        <v>20.9</v>
      </c>
      <c r="G135" s="419">
        <v>0.1</v>
      </c>
      <c r="H135" s="420">
        <v>0</v>
      </c>
      <c r="I135" s="405">
        <v>0.2</v>
      </c>
      <c r="J135" s="893"/>
      <c r="K135" s="890"/>
      <c r="L135" s="884"/>
      <c r="N135" s="386"/>
      <c r="O135" s="387" t="s">
        <v>266</v>
      </c>
      <c r="P135" s="668" t="s">
        <v>267</v>
      </c>
      <c r="Q135" s="669" t="s">
        <v>268</v>
      </c>
      <c r="R135" s="45"/>
      <c r="S135" s="45"/>
      <c r="T135" s="45"/>
      <c r="U135" s="45"/>
      <c r="V135" s="263"/>
    </row>
    <row r="136" spans="1:50" ht="30" customHeight="1" thickBot="1" x14ac:dyDescent="0.3">
      <c r="A136" s="899"/>
      <c r="B136" s="900"/>
      <c r="C136" s="954"/>
      <c r="D136" s="829"/>
      <c r="E136" s="838"/>
      <c r="F136" s="421">
        <v>23.9</v>
      </c>
      <c r="G136" s="422">
        <v>0.1</v>
      </c>
      <c r="H136" s="423">
        <v>0</v>
      </c>
      <c r="I136" s="402">
        <v>0.2</v>
      </c>
      <c r="J136" s="894">
        <v>1.96</v>
      </c>
      <c r="K136" s="891"/>
      <c r="L136" s="885"/>
      <c r="N136" s="388" t="s">
        <v>269</v>
      </c>
      <c r="O136" s="389">
        <f>MAX(I134:I136)</f>
        <v>0.2</v>
      </c>
      <c r="P136" s="670">
        <f>MAX(I137:I139)</f>
        <v>1.7</v>
      </c>
      <c r="Q136" s="671">
        <f>MAX(I140:I142)</f>
        <v>8.8999999999999996E-2</v>
      </c>
      <c r="R136" s="45"/>
      <c r="S136" s="45"/>
      <c r="T136" s="45"/>
      <c r="U136" s="45"/>
      <c r="V136" s="263"/>
    </row>
    <row r="137" spans="1:50" ht="30" customHeight="1" thickBot="1" x14ac:dyDescent="0.3">
      <c r="A137" s="831" t="s">
        <v>270</v>
      </c>
      <c r="B137" s="832"/>
      <c r="C137" s="954"/>
      <c r="D137" s="829"/>
      <c r="E137" s="838"/>
      <c r="F137" s="403">
        <v>33.5</v>
      </c>
      <c r="G137" s="393">
        <v>0.1</v>
      </c>
      <c r="H137" s="393">
        <v>-3.6</v>
      </c>
      <c r="I137" s="404">
        <v>1.7</v>
      </c>
      <c r="J137" s="892">
        <v>1.96</v>
      </c>
      <c r="K137" s="889">
        <v>44718</v>
      </c>
      <c r="L137" s="883" t="s">
        <v>540</v>
      </c>
      <c r="N137" s="390"/>
      <c r="O137" s="391"/>
      <c r="P137" s="672"/>
      <c r="Q137" s="673"/>
      <c r="R137" s="45"/>
      <c r="T137" s="49"/>
      <c r="U137" s="45"/>
      <c r="V137" s="263"/>
    </row>
    <row r="138" spans="1:50" ht="30" customHeight="1" x14ac:dyDescent="0.25">
      <c r="A138" s="833"/>
      <c r="B138" s="834"/>
      <c r="C138" s="954"/>
      <c r="D138" s="829"/>
      <c r="E138" s="838"/>
      <c r="F138" s="424">
        <v>55.7</v>
      </c>
      <c r="G138" s="419">
        <v>0.1</v>
      </c>
      <c r="H138" s="398">
        <v>-0.7</v>
      </c>
      <c r="I138" s="405">
        <v>1.7</v>
      </c>
      <c r="J138" s="893">
        <v>1.96</v>
      </c>
      <c r="K138" s="890"/>
      <c r="L138" s="884"/>
      <c r="O138" s="45"/>
      <c r="P138" s="45"/>
      <c r="Q138" s="45"/>
      <c r="R138" s="45"/>
      <c r="T138" s="49"/>
      <c r="U138" s="45"/>
      <c r="V138" s="263"/>
    </row>
    <row r="139" spans="1:50" ht="30" customHeight="1" thickBot="1" x14ac:dyDescent="0.3">
      <c r="A139" s="835"/>
      <c r="B139" s="836"/>
      <c r="C139" s="954"/>
      <c r="D139" s="829"/>
      <c r="E139" s="838"/>
      <c r="F139" s="400">
        <v>77.3</v>
      </c>
      <c r="G139" s="422">
        <v>0.1</v>
      </c>
      <c r="H139" s="401">
        <v>2.7</v>
      </c>
      <c r="I139" s="402">
        <v>1.7</v>
      </c>
      <c r="J139" s="894"/>
      <c r="K139" s="891"/>
      <c r="L139" s="885"/>
      <c r="O139" s="45"/>
      <c r="P139" s="45"/>
      <c r="Q139" s="45"/>
      <c r="R139" s="45"/>
      <c r="T139" s="49"/>
      <c r="U139" s="45"/>
      <c r="V139" s="263"/>
    </row>
    <row r="140" spans="1:50" ht="30" customHeight="1" x14ac:dyDescent="0.25">
      <c r="A140" s="831" t="s">
        <v>272</v>
      </c>
      <c r="B140" s="832"/>
      <c r="C140" s="954"/>
      <c r="D140" s="829"/>
      <c r="E140" s="838"/>
      <c r="F140" s="403">
        <v>499.346</v>
      </c>
      <c r="G140" s="393">
        <v>0.1</v>
      </c>
      <c r="H140" s="425">
        <v>1.6890000000000001</v>
      </c>
      <c r="I140" s="404">
        <v>7.5999999999999998E-2</v>
      </c>
      <c r="J140" s="892">
        <v>2</v>
      </c>
      <c r="K140" s="889" t="s">
        <v>205</v>
      </c>
      <c r="L140" s="886" t="s">
        <v>273</v>
      </c>
      <c r="O140" s="45"/>
      <c r="P140" s="45"/>
      <c r="Q140" s="45"/>
      <c r="R140" s="45"/>
      <c r="T140" s="49"/>
      <c r="U140" s="45"/>
      <c r="V140" s="263"/>
    </row>
    <row r="141" spans="1:50" ht="30" customHeight="1" x14ac:dyDescent="0.25">
      <c r="A141" s="833"/>
      <c r="B141" s="834"/>
      <c r="C141" s="954"/>
      <c r="D141" s="829"/>
      <c r="E141" s="838"/>
      <c r="F141" s="396">
        <v>752.18</v>
      </c>
      <c r="G141" s="397">
        <v>0.1</v>
      </c>
      <c r="H141" s="397">
        <v>1.0169999999999999</v>
      </c>
      <c r="I141" s="405">
        <v>8.3000000000000004E-2</v>
      </c>
      <c r="J141" s="893">
        <v>2</v>
      </c>
      <c r="K141" s="890"/>
      <c r="L141" s="887" t="s">
        <v>274</v>
      </c>
      <c r="O141" s="45"/>
      <c r="P141" s="45"/>
      <c r="Q141" s="45"/>
      <c r="R141" s="45"/>
      <c r="T141" s="49"/>
      <c r="U141" s="45"/>
      <c r="V141" s="263"/>
    </row>
    <row r="142" spans="1:50" ht="30" customHeight="1" thickBot="1" x14ac:dyDescent="0.3">
      <c r="A142" s="835"/>
      <c r="B142" s="836"/>
      <c r="C142" s="955"/>
      <c r="D142" s="830"/>
      <c r="E142" s="839"/>
      <c r="F142" s="421">
        <v>900.64499999999998</v>
      </c>
      <c r="G142" s="401">
        <v>0.1</v>
      </c>
      <c r="H142" s="401">
        <v>0.80700000000000005</v>
      </c>
      <c r="I142" s="402">
        <v>8.8999999999999996E-2</v>
      </c>
      <c r="J142" s="894"/>
      <c r="K142" s="891"/>
      <c r="L142" s="888"/>
      <c r="O142" s="45"/>
      <c r="P142" s="45"/>
      <c r="Q142" s="45"/>
      <c r="R142" s="45"/>
      <c r="T142" s="49"/>
      <c r="U142" s="45"/>
      <c r="V142" s="263"/>
    </row>
    <row r="143" spans="1:50" ht="30" customHeight="1" x14ac:dyDescent="0.25">
      <c r="O143" s="45"/>
      <c r="P143" s="45"/>
      <c r="Q143" s="45"/>
      <c r="R143" s="45"/>
      <c r="T143" s="49"/>
      <c r="U143" s="45"/>
      <c r="V143" s="263"/>
    </row>
    <row r="144" spans="1:50" ht="30" customHeight="1" thickBot="1" x14ac:dyDescent="0.3">
      <c r="R144" s="45"/>
      <c r="S144" s="45"/>
      <c r="T144" s="45"/>
      <c r="U144" s="45"/>
      <c r="V144" s="263"/>
    </row>
    <row r="145" spans="1:22" ht="30" customHeight="1" thickBot="1" x14ac:dyDescent="0.3">
      <c r="A145" s="831" t="s">
        <v>261</v>
      </c>
      <c r="B145" s="832"/>
      <c r="C145" s="953" t="s">
        <v>275</v>
      </c>
      <c r="D145" s="828" t="s">
        <v>263</v>
      </c>
      <c r="E145" s="837" t="s">
        <v>276</v>
      </c>
      <c r="F145" s="392">
        <v>14.8</v>
      </c>
      <c r="G145" s="393">
        <v>0.1</v>
      </c>
      <c r="H145" s="393">
        <v>0</v>
      </c>
      <c r="I145" s="404">
        <v>0.2</v>
      </c>
      <c r="J145" s="908">
        <v>1.96</v>
      </c>
      <c r="K145" s="911" t="s">
        <v>265</v>
      </c>
      <c r="L145" s="905" t="s">
        <v>277</v>
      </c>
      <c r="R145" s="45"/>
      <c r="S145" s="45"/>
      <c r="T145" s="45"/>
      <c r="U145" s="45"/>
      <c r="V145" s="263"/>
    </row>
    <row r="146" spans="1:22" ht="30" customHeight="1" x14ac:dyDescent="0.25">
      <c r="A146" s="833"/>
      <c r="B146" s="834"/>
      <c r="C146" s="954"/>
      <c r="D146" s="829"/>
      <c r="E146" s="838"/>
      <c r="F146" s="396">
        <v>24.8</v>
      </c>
      <c r="G146" s="397">
        <v>0.1</v>
      </c>
      <c r="H146" s="397">
        <v>0.1</v>
      </c>
      <c r="I146" s="405">
        <v>0.2</v>
      </c>
      <c r="J146" s="909"/>
      <c r="K146" s="912"/>
      <c r="L146" s="906"/>
      <c r="N146" s="386"/>
      <c r="O146" s="387" t="s">
        <v>266</v>
      </c>
      <c r="P146" s="668" t="s">
        <v>267</v>
      </c>
      <c r="Q146" s="669" t="s">
        <v>268</v>
      </c>
      <c r="R146" s="45"/>
      <c r="S146" s="45"/>
      <c r="T146" s="45"/>
      <c r="U146" s="45"/>
      <c r="V146" s="263"/>
    </row>
    <row r="147" spans="1:22" ht="30" customHeight="1" thickBot="1" x14ac:dyDescent="0.3">
      <c r="A147" s="835"/>
      <c r="B147" s="836"/>
      <c r="C147" s="954"/>
      <c r="D147" s="829"/>
      <c r="E147" s="838"/>
      <c r="F147" s="400">
        <v>29.8</v>
      </c>
      <c r="G147" s="401">
        <v>0.1</v>
      </c>
      <c r="H147" s="401">
        <v>0.1</v>
      </c>
      <c r="I147" s="402">
        <v>0.2</v>
      </c>
      <c r="J147" s="910"/>
      <c r="K147" s="913"/>
      <c r="L147" s="907"/>
      <c r="N147" s="388" t="s">
        <v>278</v>
      </c>
      <c r="O147" s="389">
        <f>MAX(I145:I147)</f>
        <v>0.2</v>
      </c>
      <c r="P147" s="670">
        <f>MAX(I148:I150)</f>
        <v>1.7</v>
      </c>
      <c r="Q147" s="671">
        <f>MAX(I151:I153)</f>
        <v>8.7999999999999995E-2</v>
      </c>
      <c r="R147" s="45"/>
      <c r="T147" s="49"/>
      <c r="U147" s="45"/>
      <c r="V147" s="263"/>
    </row>
    <row r="148" spans="1:22" ht="30" customHeight="1" thickBot="1" x14ac:dyDescent="0.3">
      <c r="A148" s="831" t="s">
        <v>270</v>
      </c>
      <c r="B148" s="832"/>
      <c r="C148" s="954"/>
      <c r="D148" s="829"/>
      <c r="E148" s="838"/>
      <c r="F148" s="403">
        <v>33.4</v>
      </c>
      <c r="G148" s="409">
        <v>0.1</v>
      </c>
      <c r="H148" s="409">
        <v>-3.4</v>
      </c>
      <c r="I148" s="410">
        <v>1.7</v>
      </c>
      <c r="J148" s="945">
        <v>1.96</v>
      </c>
      <c r="K148" s="911" t="s">
        <v>271</v>
      </c>
      <c r="L148" s="905" t="s">
        <v>279</v>
      </c>
      <c r="N148" s="390"/>
      <c r="O148" s="391"/>
      <c r="P148" s="672"/>
      <c r="Q148" s="673"/>
      <c r="R148" s="45"/>
      <c r="T148" s="49"/>
      <c r="U148" s="45"/>
      <c r="V148" s="263"/>
    </row>
    <row r="149" spans="1:22" ht="30" customHeight="1" x14ac:dyDescent="0.25">
      <c r="A149" s="833"/>
      <c r="B149" s="834"/>
      <c r="C149" s="954"/>
      <c r="D149" s="829"/>
      <c r="E149" s="838"/>
      <c r="F149" s="396">
        <v>51.1</v>
      </c>
      <c r="G149" s="411">
        <v>0.1</v>
      </c>
      <c r="H149" s="411">
        <v>-1.1000000000000001</v>
      </c>
      <c r="I149" s="412">
        <v>1.7</v>
      </c>
      <c r="J149" s="909"/>
      <c r="K149" s="912"/>
      <c r="L149" s="906"/>
      <c r="O149" s="45"/>
      <c r="P149" s="45"/>
      <c r="Q149" s="45"/>
      <c r="R149" s="45"/>
      <c r="T149" s="49"/>
      <c r="U149" s="45"/>
      <c r="V149" s="263"/>
    </row>
    <row r="150" spans="1:22" ht="30" customHeight="1" thickBot="1" x14ac:dyDescent="0.25">
      <c r="A150" s="835"/>
      <c r="B150" s="836"/>
      <c r="C150" s="954"/>
      <c r="D150" s="829"/>
      <c r="E150" s="838"/>
      <c r="F150" s="400">
        <v>76.8</v>
      </c>
      <c r="G150" s="413">
        <v>0.1</v>
      </c>
      <c r="H150" s="413">
        <v>3.2</v>
      </c>
      <c r="I150" s="414">
        <v>1.7</v>
      </c>
      <c r="J150" s="910"/>
      <c r="K150" s="913"/>
      <c r="L150" s="907"/>
      <c r="O150" s="45"/>
      <c r="P150" s="45"/>
      <c r="Q150" s="45"/>
      <c r="R150" s="45"/>
      <c r="T150" s="45"/>
    </row>
    <row r="151" spans="1:22" ht="30" customHeight="1" x14ac:dyDescent="0.2">
      <c r="A151" s="831" t="s">
        <v>272</v>
      </c>
      <c r="B151" s="832"/>
      <c r="C151" s="954"/>
      <c r="D151" s="829"/>
      <c r="E151" s="838"/>
      <c r="F151" s="392">
        <v>499.02600000000001</v>
      </c>
      <c r="G151" s="409">
        <v>0.1</v>
      </c>
      <c r="H151" s="415">
        <v>1.573</v>
      </c>
      <c r="I151" s="416">
        <v>7.6999999999999999E-2</v>
      </c>
      <c r="J151" s="945">
        <v>1.96</v>
      </c>
      <c r="K151" s="911" t="s">
        <v>205</v>
      </c>
      <c r="L151" s="918" t="s">
        <v>280</v>
      </c>
      <c r="O151" s="45"/>
      <c r="P151" s="45"/>
      <c r="Q151" s="45"/>
      <c r="R151" s="45"/>
      <c r="T151" s="45"/>
    </row>
    <row r="152" spans="1:22" ht="30" customHeight="1" x14ac:dyDescent="0.2">
      <c r="A152" s="833"/>
      <c r="B152" s="834"/>
      <c r="C152" s="954"/>
      <c r="D152" s="829"/>
      <c r="E152" s="838"/>
      <c r="F152" s="396">
        <v>752.18100000000004</v>
      </c>
      <c r="G152" s="411">
        <v>0.1</v>
      </c>
      <c r="H152" s="417">
        <v>1.0469999999999999</v>
      </c>
      <c r="I152" s="674">
        <v>8.3000000000000004E-2</v>
      </c>
      <c r="J152" s="909">
        <v>1.96</v>
      </c>
      <c r="K152" s="912"/>
      <c r="L152" s="906" t="s">
        <v>281</v>
      </c>
      <c r="O152" s="45"/>
      <c r="P152" s="45"/>
      <c r="Q152" s="45"/>
      <c r="R152" s="45"/>
      <c r="T152" s="45"/>
    </row>
    <row r="153" spans="1:22" ht="30" customHeight="1" thickBot="1" x14ac:dyDescent="0.25">
      <c r="A153" s="835"/>
      <c r="B153" s="836"/>
      <c r="C153" s="955"/>
      <c r="D153" s="830"/>
      <c r="E153" s="839"/>
      <c r="F153" s="400">
        <v>900.66499999999996</v>
      </c>
      <c r="G153" s="413">
        <v>0.1</v>
      </c>
      <c r="H153" s="418">
        <v>0.73699999999999999</v>
      </c>
      <c r="I153" s="675">
        <v>8.7999999999999995E-2</v>
      </c>
      <c r="J153" s="910">
        <v>2</v>
      </c>
      <c r="K153" s="913"/>
      <c r="L153" s="907" t="s">
        <v>282</v>
      </c>
      <c r="O153" s="45"/>
      <c r="P153" s="45"/>
      <c r="Q153" s="45"/>
      <c r="R153" s="45"/>
      <c r="T153" s="45"/>
    </row>
    <row r="154" spans="1:22" ht="30" customHeight="1" x14ac:dyDescent="0.2"/>
    <row r="155" spans="1:22" ht="30" customHeight="1" thickBot="1" x14ac:dyDescent="0.25"/>
    <row r="156" spans="1:22" ht="30" customHeight="1" thickBot="1" x14ac:dyDescent="0.25">
      <c r="A156" s="975" t="s">
        <v>261</v>
      </c>
      <c r="B156" s="976"/>
      <c r="C156" s="953" t="s">
        <v>283</v>
      </c>
      <c r="D156" s="981" t="s">
        <v>263</v>
      </c>
      <c r="E156" s="919">
        <v>19506160802033</v>
      </c>
      <c r="F156" s="392">
        <v>15.1</v>
      </c>
      <c r="G156" s="393">
        <v>0.1</v>
      </c>
      <c r="H156" s="394">
        <v>0</v>
      </c>
      <c r="I156" s="395">
        <v>0.3</v>
      </c>
      <c r="J156" s="908">
        <v>1.96</v>
      </c>
      <c r="K156" s="911" t="s">
        <v>284</v>
      </c>
      <c r="L156" s="905" t="s">
        <v>285</v>
      </c>
    </row>
    <row r="157" spans="1:22" ht="30" customHeight="1" x14ac:dyDescent="0.2">
      <c r="A157" s="977"/>
      <c r="B157" s="978"/>
      <c r="C157" s="960"/>
      <c r="D157" s="982"/>
      <c r="E157" s="920"/>
      <c r="F157" s="396">
        <v>24.9</v>
      </c>
      <c r="G157" s="397">
        <v>0.1</v>
      </c>
      <c r="H157" s="398">
        <v>0</v>
      </c>
      <c r="I157" s="399">
        <v>0.2</v>
      </c>
      <c r="J157" s="909"/>
      <c r="K157" s="912"/>
      <c r="L157" s="906"/>
      <c r="N157" s="386"/>
      <c r="O157" s="387" t="s">
        <v>266</v>
      </c>
      <c r="P157" s="668" t="s">
        <v>267</v>
      </c>
      <c r="Q157" s="669" t="s">
        <v>268</v>
      </c>
      <c r="R157" s="45"/>
      <c r="T157" s="45"/>
    </row>
    <row r="158" spans="1:22" ht="30" customHeight="1" thickBot="1" x14ac:dyDescent="0.25">
      <c r="A158" s="979"/>
      <c r="B158" s="980"/>
      <c r="C158" s="960"/>
      <c r="D158" s="982"/>
      <c r="E158" s="920"/>
      <c r="F158" s="400">
        <v>34.700000000000003</v>
      </c>
      <c r="G158" s="401">
        <v>0.1</v>
      </c>
      <c r="H158" s="401">
        <v>0</v>
      </c>
      <c r="I158" s="402">
        <v>0.4</v>
      </c>
      <c r="J158" s="910"/>
      <c r="K158" s="913"/>
      <c r="L158" s="907"/>
      <c r="N158" s="388" t="s">
        <v>286</v>
      </c>
      <c r="O158" s="389">
        <f>MAX(I156:I158)</f>
        <v>0.4</v>
      </c>
      <c r="P158" s="670">
        <f>MAX(I159:I161)</f>
        <v>1.7</v>
      </c>
      <c r="Q158" s="671">
        <f>MAX(I162:I164)</f>
        <v>9.0999999999999998E-2</v>
      </c>
      <c r="R158" s="45"/>
      <c r="T158" s="45"/>
    </row>
    <row r="159" spans="1:22" ht="30" customHeight="1" thickBot="1" x14ac:dyDescent="0.25">
      <c r="A159" s="831" t="s">
        <v>270</v>
      </c>
      <c r="B159" s="832"/>
      <c r="C159" s="960"/>
      <c r="D159" s="982"/>
      <c r="E159" s="920"/>
      <c r="F159" s="403">
        <v>32.700000000000003</v>
      </c>
      <c r="G159" s="393">
        <v>0.1</v>
      </c>
      <c r="H159" s="393">
        <v>-2.7</v>
      </c>
      <c r="I159" s="404">
        <v>1.7</v>
      </c>
      <c r="J159" s="908">
        <v>1.96</v>
      </c>
      <c r="K159" s="911" t="s">
        <v>287</v>
      </c>
      <c r="L159" s="905" t="s">
        <v>288</v>
      </c>
      <c r="N159" s="390"/>
      <c r="O159" s="391"/>
      <c r="P159" s="672"/>
      <c r="Q159" s="673"/>
      <c r="R159" s="45"/>
      <c r="T159" s="45"/>
    </row>
    <row r="160" spans="1:22" ht="30" customHeight="1" x14ac:dyDescent="0.2">
      <c r="A160" s="833"/>
      <c r="B160" s="834"/>
      <c r="C160" s="960"/>
      <c r="D160" s="982"/>
      <c r="E160" s="920"/>
      <c r="F160" s="396">
        <v>50.5</v>
      </c>
      <c r="G160" s="397">
        <v>0.1</v>
      </c>
      <c r="H160" s="397">
        <v>-0.5</v>
      </c>
      <c r="I160" s="405">
        <v>1.7</v>
      </c>
      <c r="J160" s="909"/>
      <c r="K160" s="912"/>
      <c r="L160" s="906"/>
      <c r="O160" s="45"/>
      <c r="T160" s="45"/>
    </row>
    <row r="161" spans="1:20" ht="30" customHeight="1" thickBot="1" x14ac:dyDescent="0.25">
      <c r="A161" s="835"/>
      <c r="B161" s="836"/>
      <c r="C161" s="960"/>
      <c r="D161" s="982"/>
      <c r="E161" s="920"/>
      <c r="F161" s="400">
        <v>76.7</v>
      </c>
      <c r="G161" s="401">
        <v>0.1</v>
      </c>
      <c r="H161" s="401">
        <v>3.3</v>
      </c>
      <c r="I161" s="402">
        <v>1.7</v>
      </c>
      <c r="J161" s="910"/>
      <c r="K161" s="913"/>
      <c r="L161" s="907"/>
      <c r="O161" s="45"/>
      <c r="T161" s="45"/>
    </row>
    <row r="162" spans="1:20" ht="30" customHeight="1" x14ac:dyDescent="0.2">
      <c r="A162" s="831" t="s">
        <v>272</v>
      </c>
      <c r="B162" s="832"/>
      <c r="C162" s="960"/>
      <c r="D162" s="982"/>
      <c r="E162" s="920"/>
      <c r="F162" s="392">
        <v>399.52300000000002</v>
      </c>
      <c r="G162" s="393">
        <v>0.1</v>
      </c>
      <c r="H162" s="406">
        <v>1.96</v>
      </c>
      <c r="I162" s="595">
        <v>7.5999999999999998E-2</v>
      </c>
      <c r="J162" s="908">
        <v>2</v>
      </c>
      <c r="K162" s="911" t="s">
        <v>205</v>
      </c>
      <c r="L162" s="917" t="s">
        <v>289</v>
      </c>
      <c r="O162" s="45"/>
      <c r="T162" s="45"/>
    </row>
    <row r="163" spans="1:20" ht="30" customHeight="1" x14ac:dyDescent="0.2">
      <c r="A163" s="833"/>
      <c r="B163" s="834"/>
      <c r="C163" s="960"/>
      <c r="D163" s="982"/>
      <c r="E163" s="920"/>
      <c r="F163" s="396">
        <v>752.18100000000004</v>
      </c>
      <c r="G163" s="397">
        <v>0.1</v>
      </c>
      <c r="H163" s="407">
        <v>1.1479999999999999</v>
      </c>
      <c r="I163" s="674">
        <v>8.3000000000000004E-2</v>
      </c>
      <c r="J163" s="909"/>
      <c r="K163" s="912"/>
      <c r="L163" s="906"/>
    </row>
    <row r="164" spans="1:20" ht="30" customHeight="1" thickBot="1" x14ac:dyDescent="0.25">
      <c r="A164" s="835"/>
      <c r="B164" s="836"/>
      <c r="C164" s="961"/>
      <c r="D164" s="983"/>
      <c r="E164" s="921"/>
      <c r="F164" s="400">
        <v>1099.1110000000001</v>
      </c>
      <c r="G164" s="401">
        <v>0.1</v>
      </c>
      <c r="H164" s="408">
        <v>1.0669999999999999</v>
      </c>
      <c r="I164" s="675">
        <v>9.0999999999999998E-2</v>
      </c>
      <c r="J164" s="910"/>
      <c r="K164" s="913"/>
      <c r="L164" s="907"/>
    </row>
    <row r="165" spans="1:20" ht="30" customHeight="1" x14ac:dyDescent="0.2"/>
    <row r="166" spans="1:20" ht="30" customHeight="1" thickBot="1" x14ac:dyDescent="0.25"/>
    <row r="167" spans="1:20" ht="30" customHeight="1" thickBot="1" x14ac:dyDescent="0.25">
      <c r="A167" s="831" t="s">
        <v>261</v>
      </c>
      <c r="B167" s="832"/>
      <c r="C167" s="953" t="s">
        <v>290</v>
      </c>
      <c r="D167" s="828" t="s">
        <v>263</v>
      </c>
      <c r="E167" s="922">
        <v>19406160802033</v>
      </c>
      <c r="F167" s="403">
        <v>15.1</v>
      </c>
      <c r="G167" s="393">
        <v>0.1</v>
      </c>
      <c r="H167" s="394">
        <v>0</v>
      </c>
      <c r="I167" s="426">
        <v>0.3</v>
      </c>
      <c r="J167" s="914">
        <v>1.96</v>
      </c>
      <c r="K167" s="911" t="s">
        <v>291</v>
      </c>
      <c r="L167" s="905" t="s">
        <v>292</v>
      </c>
    </row>
    <row r="168" spans="1:20" ht="30" customHeight="1" x14ac:dyDescent="0.2">
      <c r="A168" s="833"/>
      <c r="B168" s="834"/>
      <c r="C168" s="960"/>
      <c r="D168" s="829"/>
      <c r="E168" s="838"/>
      <c r="F168" s="396">
        <v>24.9</v>
      </c>
      <c r="G168" s="397">
        <v>0.1</v>
      </c>
      <c r="H168" s="398">
        <v>0</v>
      </c>
      <c r="I168" s="427">
        <v>0.2</v>
      </c>
      <c r="J168" s="915"/>
      <c r="K168" s="912"/>
      <c r="L168" s="906"/>
      <c r="N168" s="386"/>
      <c r="O168" s="387" t="s">
        <v>266</v>
      </c>
      <c r="P168" s="668" t="s">
        <v>267</v>
      </c>
      <c r="Q168" s="669" t="s">
        <v>268</v>
      </c>
    </row>
    <row r="169" spans="1:20" ht="30" customHeight="1" thickBot="1" x14ac:dyDescent="0.25">
      <c r="A169" s="835"/>
      <c r="B169" s="836"/>
      <c r="C169" s="960"/>
      <c r="D169" s="829"/>
      <c r="E169" s="838"/>
      <c r="F169" s="421">
        <v>34.700000000000003</v>
      </c>
      <c r="G169" s="401">
        <v>0.1</v>
      </c>
      <c r="H169" s="428">
        <v>0.1</v>
      </c>
      <c r="I169" s="676">
        <v>0.5</v>
      </c>
      <c r="J169" s="916"/>
      <c r="K169" s="913"/>
      <c r="L169" s="907"/>
      <c r="N169" s="388" t="s">
        <v>293</v>
      </c>
      <c r="O169" s="389">
        <f>MAX(I167:I169)</f>
        <v>0.5</v>
      </c>
      <c r="P169" s="670">
        <f>MAX(I170:I172)</f>
        <v>1.7</v>
      </c>
      <c r="Q169" s="671">
        <f>MAX(I173:I175)</f>
        <v>7.0000000000000007E-2</v>
      </c>
    </row>
    <row r="170" spans="1:20" ht="30" customHeight="1" thickBot="1" x14ac:dyDescent="0.25">
      <c r="A170" s="831" t="s">
        <v>270</v>
      </c>
      <c r="B170" s="832"/>
      <c r="C170" s="960"/>
      <c r="D170" s="829"/>
      <c r="E170" s="838"/>
      <c r="F170" s="403">
        <v>33</v>
      </c>
      <c r="G170" s="393">
        <v>0.1</v>
      </c>
      <c r="H170" s="393">
        <v>-3</v>
      </c>
      <c r="I170" s="595">
        <v>1.7</v>
      </c>
      <c r="J170" s="914">
        <v>1.96</v>
      </c>
      <c r="K170" s="911" t="s">
        <v>294</v>
      </c>
      <c r="L170" s="905" t="s">
        <v>295</v>
      </c>
      <c r="N170" s="390"/>
      <c r="O170" s="391"/>
      <c r="P170" s="672"/>
      <c r="Q170" s="673"/>
    </row>
    <row r="171" spans="1:20" ht="30" customHeight="1" x14ac:dyDescent="0.2">
      <c r="A171" s="833"/>
      <c r="B171" s="834"/>
      <c r="C171" s="960"/>
      <c r="D171" s="829"/>
      <c r="E171" s="838"/>
      <c r="F171" s="396">
        <v>50.9</v>
      </c>
      <c r="G171" s="397">
        <v>0.1</v>
      </c>
      <c r="H171" s="397">
        <v>-0.9</v>
      </c>
      <c r="I171" s="674">
        <v>1.7</v>
      </c>
      <c r="J171" s="915">
        <v>2</v>
      </c>
      <c r="K171" s="912"/>
      <c r="L171" s="906"/>
    </row>
    <row r="172" spans="1:20" ht="30" customHeight="1" thickBot="1" x14ac:dyDescent="0.25">
      <c r="A172" s="835"/>
      <c r="B172" s="836"/>
      <c r="C172" s="960"/>
      <c r="D172" s="829"/>
      <c r="E172" s="838"/>
      <c r="F172" s="400">
        <v>79.099999999999994</v>
      </c>
      <c r="G172" s="401">
        <v>0.1</v>
      </c>
      <c r="H172" s="401">
        <v>0.9</v>
      </c>
      <c r="I172" s="675">
        <v>1.7</v>
      </c>
      <c r="J172" s="916"/>
      <c r="K172" s="913"/>
      <c r="L172" s="907"/>
    </row>
    <row r="173" spans="1:20" ht="30" customHeight="1" x14ac:dyDescent="0.2">
      <c r="A173" s="831" t="s">
        <v>272</v>
      </c>
      <c r="B173" s="832"/>
      <c r="C173" s="960"/>
      <c r="D173" s="829"/>
      <c r="E173" s="838"/>
      <c r="F173" s="403">
        <v>398.61399999999998</v>
      </c>
      <c r="G173" s="393">
        <v>0.1</v>
      </c>
      <c r="H173" s="393">
        <v>1.64</v>
      </c>
      <c r="I173" s="595">
        <v>6.5000000000000002E-2</v>
      </c>
      <c r="J173" s="914">
        <v>2</v>
      </c>
      <c r="K173" s="911" t="s">
        <v>296</v>
      </c>
      <c r="L173" s="917" t="s">
        <v>297</v>
      </c>
    </row>
    <row r="174" spans="1:20" ht="30" customHeight="1" x14ac:dyDescent="0.2">
      <c r="A174" s="833"/>
      <c r="B174" s="834"/>
      <c r="C174" s="960"/>
      <c r="D174" s="829"/>
      <c r="E174" s="838"/>
      <c r="F174" s="396">
        <v>752.91200000000003</v>
      </c>
      <c r="G174" s="397">
        <v>0.1</v>
      </c>
      <c r="H174" s="407">
        <v>0.877</v>
      </c>
      <c r="I174" s="674">
        <v>6.8000000000000005E-2</v>
      </c>
      <c r="J174" s="915">
        <v>2</v>
      </c>
      <c r="K174" s="912"/>
      <c r="L174" s="906"/>
    </row>
    <row r="175" spans="1:20" ht="30" customHeight="1" thickBot="1" x14ac:dyDescent="0.25">
      <c r="A175" s="835"/>
      <c r="B175" s="836"/>
      <c r="C175" s="961"/>
      <c r="D175" s="830"/>
      <c r="E175" s="839"/>
      <c r="F175" s="400">
        <v>801.26800000000003</v>
      </c>
      <c r="G175" s="401">
        <v>0.1</v>
      </c>
      <c r="H175" s="401">
        <v>0.81200000000000006</v>
      </c>
      <c r="I175" s="675">
        <v>7.0000000000000007E-2</v>
      </c>
      <c r="J175" s="916"/>
      <c r="K175" s="913"/>
      <c r="L175" s="907"/>
    </row>
    <row r="176" spans="1:20" ht="30" customHeight="1" thickBot="1" x14ac:dyDescent="0.25">
      <c r="J176" s="46"/>
      <c r="K176" s="46"/>
      <c r="L176" s="46"/>
      <c r="M176" s="46"/>
      <c r="N176" s="46"/>
    </row>
    <row r="177" spans="1:17" ht="30" customHeight="1" thickBot="1" x14ac:dyDescent="0.25">
      <c r="A177" s="831" t="s">
        <v>261</v>
      </c>
      <c r="B177" s="832"/>
      <c r="C177" s="953" t="s">
        <v>298</v>
      </c>
      <c r="D177" s="828" t="s">
        <v>263</v>
      </c>
      <c r="E177" s="962" t="s">
        <v>299</v>
      </c>
      <c r="F177" s="403">
        <v>16.8</v>
      </c>
      <c r="G177" s="393">
        <v>0.1</v>
      </c>
      <c r="H177" s="394">
        <v>0.1</v>
      </c>
      <c r="I177" s="426">
        <v>0.2</v>
      </c>
      <c r="J177" s="908">
        <v>1.96</v>
      </c>
      <c r="K177" s="911">
        <v>44719</v>
      </c>
      <c r="L177" s="905" t="s">
        <v>541</v>
      </c>
    </row>
    <row r="178" spans="1:17" ht="30" customHeight="1" x14ac:dyDescent="0.2">
      <c r="A178" s="833"/>
      <c r="B178" s="834"/>
      <c r="C178" s="960"/>
      <c r="D178" s="829"/>
      <c r="E178" s="963"/>
      <c r="F178" s="424">
        <v>19.899999999999999</v>
      </c>
      <c r="G178" s="397">
        <v>0.1</v>
      </c>
      <c r="H178" s="398">
        <v>0</v>
      </c>
      <c r="I178" s="427">
        <v>0.2</v>
      </c>
      <c r="J178" s="909"/>
      <c r="K178" s="912"/>
      <c r="L178" s="906"/>
      <c r="N178" s="386"/>
      <c r="O178" s="387" t="s">
        <v>266</v>
      </c>
      <c r="P178" s="668" t="s">
        <v>267</v>
      </c>
      <c r="Q178" s="669" t="s">
        <v>268</v>
      </c>
    </row>
    <row r="179" spans="1:17" ht="30" customHeight="1" thickBot="1" x14ac:dyDescent="0.25">
      <c r="A179" s="835"/>
      <c r="B179" s="836"/>
      <c r="C179" s="960"/>
      <c r="D179" s="829"/>
      <c r="E179" s="963"/>
      <c r="F179" s="421">
        <v>22.9</v>
      </c>
      <c r="G179" s="401">
        <v>0.1</v>
      </c>
      <c r="H179" s="428">
        <v>0</v>
      </c>
      <c r="I179" s="429">
        <v>0.2</v>
      </c>
      <c r="J179" s="910"/>
      <c r="K179" s="913"/>
      <c r="L179" s="907"/>
      <c r="N179" s="388" t="s">
        <v>300</v>
      </c>
      <c r="O179" s="389">
        <f>MAX(I177:I179)</f>
        <v>0.2</v>
      </c>
      <c r="P179" s="670">
        <f>MAX(I180:I182)</f>
        <v>1.7</v>
      </c>
      <c r="Q179" s="671">
        <f>MAX(I183:I185)</f>
        <v>8.7999999999999995E-2</v>
      </c>
    </row>
    <row r="180" spans="1:17" ht="30" customHeight="1" thickBot="1" x14ac:dyDescent="0.25">
      <c r="A180" s="831" t="s">
        <v>270</v>
      </c>
      <c r="B180" s="832"/>
      <c r="C180" s="960"/>
      <c r="D180" s="829"/>
      <c r="E180" s="963"/>
      <c r="F180" s="403">
        <v>33.299999999999997</v>
      </c>
      <c r="G180" s="393">
        <v>0.1</v>
      </c>
      <c r="H180" s="393">
        <v>-3.3</v>
      </c>
      <c r="I180" s="595">
        <v>1.7</v>
      </c>
      <c r="J180" s="908">
        <v>1.96</v>
      </c>
      <c r="K180" s="911">
        <v>44718</v>
      </c>
      <c r="L180" s="905" t="s">
        <v>542</v>
      </c>
      <c r="N180" s="390"/>
      <c r="O180" s="391"/>
      <c r="P180" s="672"/>
      <c r="Q180" s="673"/>
    </row>
    <row r="181" spans="1:17" ht="30" customHeight="1" x14ac:dyDescent="0.2">
      <c r="A181" s="833"/>
      <c r="B181" s="834"/>
      <c r="C181" s="960"/>
      <c r="D181" s="829"/>
      <c r="E181" s="963"/>
      <c r="F181" s="396">
        <v>55.9</v>
      </c>
      <c r="G181" s="397">
        <v>0.1</v>
      </c>
      <c r="H181" s="397">
        <v>-0.9</v>
      </c>
      <c r="I181" s="430">
        <v>1.7</v>
      </c>
      <c r="J181" s="909"/>
      <c r="K181" s="912"/>
      <c r="L181" s="906"/>
    </row>
    <row r="182" spans="1:17" ht="30" customHeight="1" thickBot="1" x14ac:dyDescent="0.25">
      <c r="A182" s="835"/>
      <c r="B182" s="836"/>
      <c r="C182" s="960"/>
      <c r="D182" s="829"/>
      <c r="E182" s="963"/>
      <c r="F182" s="400">
        <v>78.2</v>
      </c>
      <c r="G182" s="401">
        <v>0.1</v>
      </c>
      <c r="H182" s="401">
        <v>1.8</v>
      </c>
      <c r="I182" s="431">
        <v>1.7</v>
      </c>
      <c r="J182" s="910"/>
      <c r="K182" s="913"/>
      <c r="L182" s="907"/>
    </row>
    <row r="183" spans="1:17" ht="30" customHeight="1" x14ac:dyDescent="0.2">
      <c r="A183" s="831" t="s">
        <v>272</v>
      </c>
      <c r="B183" s="832"/>
      <c r="C183" s="960"/>
      <c r="D183" s="829"/>
      <c r="E183" s="963"/>
      <c r="F183" s="392">
        <v>499.03300000000002</v>
      </c>
      <c r="G183" s="393">
        <v>0.1</v>
      </c>
      <c r="H183" s="393">
        <v>1.706</v>
      </c>
      <c r="I183" s="595">
        <v>7.6999999999999999E-2</v>
      </c>
      <c r="J183" s="914">
        <v>2</v>
      </c>
      <c r="K183" s="911" t="s">
        <v>205</v>
      </c>
      <c r="L183" s="917" t="s">
        <v>301</v>
      </c>
    </row>
    <row r="184" spans="1:17" ht="30" customHeight="1" x14ac:dyDescent="0.2">
      <c r="A184" s="833"/>
      <c r="B184" s="834"/>
      <c r="C184" s="960"/>
      <c r="D184" s="829"/>
      <c r="E184" s="963"/>
      <c r="F184" s="396">
        <v>752.18100000000004</v>
      </c>
      <c r="G184" s="397">
        <v>0.1</v>
      </c>
      <c r="H184" s="407">
        <v>1.087</v>
      </c>
      <c r="I184" s="674">
        <v>8.3000000000000004E-2</v>
      </c>
      <c r="J184" s="915"/>
      <c r="K184" s="912"/>
      <c r="L184" s="906"/>
    </row>
    <row r="185" spans="1:17" ht="30" customHeight="1" thickBot="1" x14ac:dyDescent="0.25">
      <c r="A185" s="835"/>
      <c r="B185" s="836"/>
      <c r="C185" s="961"/>
      <c r="D185" s="830"/>
      <c r="E185" s="964"/>
      <c r="F185" s="400">
        <v>900.66499999999996</v>
      </c>
      <c r="G185" s="401">
        <v>0.1</v>
      </c>
      <c r="H185" s="401">
        <v>0.94</v>
      </c>
      <c r="I185" s="675">
        <v>8.7999999999999995E-2</v>
      </c>
      <c r="J185" s="916"/>
      <c r="K185" s="913"/>
      <c r="L185" s="907"/>
    </row>
    <row r="186" spans="1:17" ht="30" customHeight="1" x14ac:dyDescent="0.2"/>
    <row r="187" spans="1:17" ht="30" customHeight="1" thickBot="1" x14ac:dyDescent="0.25"/>
    <row r="188" spans="1:17" ht="30" customHeight="1" thickBot="1" x14ac:dyDescent="0.25">
      <c r="B188" s="946" t="s">
        <v>302</v>
      </c>
      <c r="C188" s="947"/>
      <c r="D188" s="947"/>
      <c r="E188" s="947"/>
      <c r="F188" s="947"/>
      <c r="G188" s="948"/>
      <c r="L188" s="360"/>
      <c r="M188" s="946" t="s">
        <v>303</v>
      </c>
      <c r="N188" s="947"/>
      <c r="O188" s="947"/>
      <c r="P188" s="948"/>
    </row>
    <row r="189" spans="1:17" ht="30" customHeight="1" thickBot="1" x14ac:dyDescent="0.25">
      <c r="B189" s="331" t="s">
        <v>2</v>
      </c>
      <c r="C189" s="821" t="s">
        <v>304</v>
      </c>
      <c r="D189" s="822"/>
      <c r="E189" s="822"/>
      <c r="F189" s="822"/>
      <c r="G189" s="823"/>
      <c r="M189" s="956" t="s">
        <v>305</v>
      </c>
      <c r="N189" s="957"/>
      <c r="O189" s="957"/>
      <c r="P189" s="958"/>
    </row>
    <row r="190" spans="1:17" ht="30" customHeight="1" x14ac:dyDescent="0.2">
      <c r="B190" s="60"/>
      <c r="C190" s="824"/>
      <c r="D190" s="824"/>
      <c r="E190" s="825"/>
      <c r="F190" s="825"/>
      <c r="G190" s="109"/>
      <c r="M190" s="544">
        <v>0</v>
      </c>
      <c r="N190" s="593" t="s">
        <v>306</v>
      </c>
      <c r="O190" s="545" t="s">
        <v>307</v>
      </c>
      <c r="P190" s="377"/>
    </row>
    <row r="191" spans="1:17" ht="30" customHeight="1" thickBot="1" x14ac:dyDescent="0.25">
      <c r="B191" s="52" t="s">
        <v>308</v>
      </c>
      <c r="C191" s="826" t="s">
        <v>309</v>
      </c>
      <c r="D191" s="826"/>
      <c r="E191" s="827" t="s">
        <v>310</v>
      </c>
      <c r="F191" s="827"/>
      <c r="G191" s="677" t="s">
        <v>311</v>
      </c>
      <c r="M191" s="546">
        <v>7.8E-2</v>
      </c>
      <c r="N191" s="547"/>
      <c r="O191" s="548">
        <v>5.0000000000000004E-6</v>
      </c>
      <c r="P191" s="549"/>
    </row>
    <row r="192" spans="1:17" ht="30" customHeight="1" x14ac:dyDescent="0.2">
      <c r="B192" s="52" t="s">
        <v>312</v>
      </c>
      <c r="C192" s="826" t="s">
        <v>313</v>
      </c>
      <c r="D192" s="826"/>
      <c r="E192" s="827" t="s">
        <v>314</v>
      </c>
      <c r="F192" s="827"/>
      <c r="G192" s="677" t="s">
        <v>311</v>
      </c>
    </row>
    <row r="193" spans="2:21" ht="33" customHeight="1" thickBot="1" x14ac:dyDescent="0.25">
      <c r="B193" s="53" t="s">
        <v>315</v>
      </c>
      <c r="C193" s="819" t="s">
        <v>316</v>
      </c>
      <c r="D193" s="819"/>
      <c r="E193" s="820" t="s">
        <v>314</v>
      </c>
      <c r="F193" s="820"/>
      <c r="G193" s="678" t="s">
        <v>311</v>
      </c>
    </row>
    <row r="194" spans="2:21" ht="30" customHeight="1" thickBot="1" x14ac:dyDescent="0.25"/>
    <row r="195" spans="2:21" ht="30" customHeight="1" thickBot="1" x14ac:dyDescent="0.25">
      <c r="H195" s="575" t="s">
        <v>5</v>
      </c>
      <c r="I195" s="452" t="str">
        <f>D131</f>
        <v>Fabricante</v>
      </c>
      <c r="J195" s="453" t="str">
        <f>E131</f>
        <v>Identificación / Serie</v>
      </c>
      <c r="K195" s="446" t="s">
        <v>7</v>
      </c>
      <c r="L195" s="446" t="s">
        <v>260</v>
      </c>
      <c r="M195" s="447" t="s">
        <v>266</v>
      </c>
      <c r="N195" s="447" t="s">
        <v>267</v>
      </c>
      <c r="O195" s="447" t="s">
        <v>268</v>
      </c>
      <c r="P195" s="447" t="s">
        <v>317</v>
      </c>
      <c r="Q195" s="447" t="s">
        <v>318</v>
      </c>
      <c r="R195" s="447" t="s">
        <v>319</v>
      </c>
      <c r="S195" s="447" t="s">
        <v>320</v>
      </c>
      <c r="T195" s="447" t="s">
        <v>321</v>
      </c>
      <c r="U195" s="448" t="s">
        <v>322</v>
      </c>
    </row>
    <row r="196" spans="2:21" ht="30" customHeight="1" thickBot="1" x14ac:dyDescent="0.25">
      <c r="H196" s="471"/>
      <c r="I196" s="450"/>
      <c r="J196" s="450"/>
      <c r="K196" s="450"/>
      <c r="L196" s="450"/>
      <c r="M196" s="450"/>
      <c r="N196" s="450"/>
      <c r="O196" s="450"/>
      <c r="P196" s="450"/>
      <c r="Q196" s="450"/>
      <c r="R196" s="450"/>
      <c r="S196" s="449"/>
      <c r="T196" s="449"/>
      <c r="U196" s="472"/>
    </row>
    <row r="197" spans="2:21" ht="30" customHeight="1" x14ac:dyDescent="0.2">
      <c r="H197" s="436" t="str">
        <f>N136</f>
        <v>M-010</v>
      </c>
      <c r="I197" s="437" t="str">
        <f>D134</f>
        <v>Lufft Opus 20</v>
      </c>
      <c r="J197" s="438" t="str">
        <f>E134</f>
        <v>0,26.0714.0802.024</v>
      </c>
      <c r="K197" s="454" t="str">
        <f>K134&amp;" "&amp;K137&amp;" "&amp;K140</f>
        <v>44715 44718 2021-05-31</v>
      </c>
      <c r="L197" s="454" t="str">
        <f>L134&amp;" "&amp;L137&amp;" "&amp;L140</f>
        <v>INM 5932 INM 5933 INM 5238</v>
      </c>
      <c r="M197" s="457">
        <f>O136</f>
        <v>0.2</v>
      </c>
      <c r="N197" s="457">
        <f>P136</f>
        <v>1.7</v>
      </c>
      <c r="O197" s="460">
        <f>Q136</f>
        <v>8.8999999999999996E-2</v>
      </c>
      <c r="P197" s="463">
        <f>SLOPE(H134:H136,F134:F136)</f>
        <v>-1.6481547832318168E-2</v>
      </c>
      <c r="Q197" s="463">
        <f>INTERCEPT(H134:H136,F134:F136)</f>
        <v>0.3772482981010391</v>
      </c>
      <c r="R197" s="463">
        <f>SLOPE(H137:H139,F137:F139)</f>
        <v>0.14377449753982155</v>
      </c>
      <c r="S197" s="463">
        <f>INTERCEPT(H137:H139,F137:F139)</f>
        <v>-8.5128179467934295</v>
      </c>
      <c r="T197" s="463">
        <f>SLOPE(H140:H142,F140:F142)</f>
        <v>-2.2470054458449541E-3</v>
      </c>
      <c r="U197" s="467">
        <f>INTERCEPT(H140:H142,F140:F142)</f>
        <v>2.7829799857965267</v>
      </c>
    </row>
    <row r="198" spans="2:21" ht="30" customHeight="1" x14ac:dyDescent="0.2">
      <c r="H198" s="439" t="str">
        <f>N147</f>
        <v>M-011</v>
      </c>
      <c r="I198" s="440" t="str">
        <f>D145</f>
        <v>Lufft Opus 20</v>
      </c>
      <c r="J198" s="441" t="str">
        <f>E145</f>
        <v>0,22.0714.0802.024</v>
      </c>
      <c r="K198" s="455" t="str">
        <f>K145&amp;" "&amp;K148&amp;" "&amp;K151</f>
        <v>2021-06-25 2021-06-23 2021-05-31</v>
      </c>
      <c r="L198" s="455" t="str">
        <f>L145&amp;" "&amp;L148&amp;" "&amp;L12</f>
        <v xml:space="preserve">INM 5286 INM 5287 </v>
      </c>
      <c r="M198" s="458">
        <f>O147</f>
        <v>0.2</v>
      </c>
      <c r="N198" s="458">
        <f>P147</f>
        <v>1.7</v>
      </c>
      <c r="O198" s="461">
        <f>Q147</f>
        <v>8.7999999999999995E-2</v>
      </c>
      <c r="P198" s="464">
        <f>SLOPE(H145:H147,F145:F147)</f>
        <v>7.1428571428571426E-3</v>
      </c>
      <c r="Q198" s="464">
        <f>INTERCEPT(H145:H147,F145:F147)</f>
        <v>-9.8571428571428601E-2</v>
      </c>
      <c r="R198" s="464">
        <f>SLOPE(H148:H150,F148:F150)</f>
        <v>0.15317043124024443</v>
      </c>
      <c r="S198" s="464">
        <f>INTERCEPT(H148:H150,F148:F150)</f>
        <v>-8.6687968530171435</v>
      </c>
      <c r="T198" s="464">
        <f>SLOPE(H151:H153,F151:F153)</f>
        <v>-2.0810757363394542E-3</v>
      </c>
      <c r="U198" s="468">
        <f>INTERCEPT(H151:H153,F151:F153)</f>
        <v>2.6117362023027515</v>
      </c>
    </row>
    <row r="199" spans="2:21" ht="30" customHeight="1" x14ac:dyDescent="0.2">
      <c r="H199" s="439" t="str">
        <f>N158</f>
        <v xml:space="preserve">M-012  </v>
      </c>
      <c r="I199" s="440" t="str">
        <f>D156</f>
        <v>Lufft Opus 20</v>
      </c>
      <c r="J199" s="442">
        <f>E156</f>
        <v>19506160802033</v>
      </c>
      <c r="K199" s="455" t="str">
        <f>K156&amp;" "&amp;K159&amp;" "&amp;K162</f>
        <v>2021-07-09 2021-07-07 2021-05-31</v>
      </c>
      <c r="L199" s="455" t="str">
        <f>L156&amp;" "&amp;L159&amp;" "&amp;L162</f>
        <v>INM 5303 INM 5304 INM 5240</v>
      </c>
      <c r="M199" s="458">
        <f>O158</f>
        <v>0.4</v>
      </c>
      <c r="N199" s="458">
        <f>P158</f>
        <v>1.7</v>
      </c>
      <c r="O199" s="461">
        <f>Q158</f>
        <v>9.0999999999999998E-2</v>
      </c>
      <c r="P199" s="464">
        <f>SLOPE(H156:H158,F156:F158)</f>
        <v>0</v>
      </c>
      <c r="Q199" s="464">
        <f>INTERCEPT(H156:H158,F156:F158)</f>
        <v>0</v>
      </c>
      <c r="R199" s="464">
        <f>SLOPE(H159:H161,F159:F161)</f>
        <v>0.13701314607659021</v>
      </c>
      <c r="S199" s="464">
        <f>INTERCEPT(H159:H161,F159:F161)</f>
        <v>-7.2694673525489257</v>
      </c>
      <c r="T199" s="464">
        <f>SLOPE(H162:H164,F162:F164)</f>
        <v>-1.2792887594359357E-3</v>
      </c>
      <c r="U199" s="468">
        <f>INTERCEPT(H162:H164,F162:F164)</f>
        <v>2.351480776356599</v>
      </c>
    </row>
    <row r="200" spans="2:21" ht="30" customHeight="1" x14ac:dyDescent="0.2">
      <c r="H200" s="439" t="str">
        <f>N169</f>
        <v xml:space="preserve">M-013  </v>
      </c>
      <c r="I200" s="440" t="str">
        <f>D167</f>
        <v>Lufft Opus 20</v>
      </c>
      <c r="J200" s="441">
        <f>E167</f>
        <v>19406160802033</v>
      </c>
      <c r="K200" s="455" t="str">
        <f>K167&amp;" "&amp;K170&amp;" "&amp;K173</f>
        <v>2021-05-12 2021-05-13 2021-10-22</v>
      </c>
      <c r="L200" s="455" t="str">
        <f>L167&amp;" "&amp;L170&amp;" "&amp;L173</f>
        <v>INM 4782 INM 4783 INM 5548</v>
      </c>
      <c r="M200" s="458">
        <f>O169</f>
        <v>0.5</v>
      </c>
      <c r="N200" s="458">
        <f>P169</f>
        <v>1.7</v>
      </c>
      <c r="O200" s="461">
        <f>Q169</f>
        <v>7.0000000000000007E-2</v>
      </c>
      <c r="P200" s="464">
        <f>SLOPE(H167:H169,F167:F169)</f>
        <v>5.1020408163265311E-3</v>
      </c>
      <c r="Q200" s="466">
        <f>INTERCEPT(H167:H169,F167:F169)</f>
        <v>-9.3707482993197311E-2</v>
      </c>
      <c r="R200" s="464">
        <f>SLOPE(H170:H172,F170:F172)</f>
        <v>8.2737298124571895E-2</v>
      </c>
      <c r="S200" s="466">
        <f>INTERCEPT(H170:H172,F170:F172)</f>
        <v>-5.4953931981017394</v>
      </c>
      <c r="T200" s="464">
        <f>SLOPE(H173:H175,F173:F175)</f>
        <v>-2.0926868742257511E-3</v>
      </c>
      <c r="U200" s="469">
        <f>INTERCEPT(H173:H175,F173:F175)</f>
        <v>2.4718621239556002</v>
      </c>
    </row>
    <row r="201" spans="2:21" ht="30" customHeight="1" thickBot="1" x14ac:dyDescent="0.25">
      <c r="H201" s="443" t="str">
        <f>N179</f>
        <v>V-002</v>
      </c>
      <c r="I201" s="444" t="str">
        <f>D177</f>
        <v>Lufft Opus 20</v>
      </c>
      <c r="J201" s="445" t="str">
        <f>E177</f>
        <v>0,23.0714.0802.024</v>
      </c>
      <c r="K201" s="456" t="str">
        <f>K177&amp;" "&amp;K180&amp;" "&amp;K183</f>
        <v>44719 44718 2021-05-31</v>
      </c>
      <c r="L201" s="456" t="str">
        <f>L177&amp;" "&amp;L180&amp;" "&amp;L183</f>
        <v>INM 5936 INM 5937 INM 5243</v>
      </c>
      <c r="M201" s="459">
        <f>O179</f>
        <v>0.2</v>
      </c>
      <c r="N201" s="459">
        <f>P179</f>
        <v>1.7</v>
      </c>
      <c r="O201" s="462">
        <f>Q179</f>
        <v>8.7999999999999995E-2</v>
      </c>
      <c r="P201" s="465">
        <f>SLOPE(H177:H179,F177:F179)</f>
        <v>-1.6481547832318168E-2</v>
      </c>
      <c r="Q201" s="465">
        <f>INTERCEPT(H177:H179,F177:F179)</f>
        <v>0.36076675026872096</v>
      </c>
      <c r="R201" s="465">
        <f>SLOPE(H180:H182,F180:F182)</f>
        <v>0.11356917521477748</v>
      </c>
      <c r="S201" s="465">
        <f>INTERCEPT(H180:H182,F180:F182)</f>
        <v>-7.1371599769845826</v>
      </c>
      <c r="T201" s="465">
        <f>SLOPE(H183:H185,F183:F185)</f>
        <v>-1.9648258861956771E-3</v>
      </c>
      <c r="U201" s="470">
        <f>INTERCEPT(H183:H185,F183:F185)</f>
        <v>2.6536891877202891</v>
      </c>
    </row>
    <row r="202" spans="2:21" ht="30" customHeight="1" x14ac:dyDescent="0.2"/>
    <row r="203" spans="2:21" ht="30" customHeight="1" x14ac:dyDescent="0.2"/>
    <row r="204" spans="2:21" ht="30" customHeight="1" thickBot="1" x14ac:dyDescent="0.25"/>
    <row r="205" spans="2:21" ht="30" customHeight="1" thickBot="1" x14ac:dyDescent="0.25">
      <c r="B205" s="566"/>
      <c r="C205" s="567"/>
      <c r="D205" s="567"/>
      <c r="E205" s="567"/>
      <c r="F205" s="568"/>
    </row>
    <row r="206" spans="2:21" ht="30" customHeight="1" thickBot="1" x14ac:dyDescent="0.25">
      <c r="B206" s="815" t="s">
        <v>323</v>
      </c>
      <c r="C206" s="816"/>
      <c r="D206" s="816"/>
      <c r="E206" s="816"/>
      <c r="F206" s="817"/>
    </row>
    <row r="207" spans="2:21" ht="30" customHeight="1" thickBot="1" x14ac:dyDescent="0.25">
      <c r="B207" s="451" t="s">
        <v>324</v>
      </c>
      <c r="C207" s="553" t="s">
        <v>325</v>
      </c>
      <c r="D207" s="554" t="s">
        <v>326</v>
      </c>
      <c r="E207" s="553" t="s">
        <v>325</v>
      </c>
      <c r="F207" s="555" t="s">
        <v>326</v>
      </c>
    </row>
    <row r="208" spans="2:21" ht="30" customHeight="1" x14ac:dyDescent="0.2">
      <c r="B208" s="561" t="s">
        <v>327</v>
      </c>
      <c r="C208" s="556" t="s">
        <v>328</v>
      </c>
      <c r="D208" s="557" t="s">
        <v>329</v>
      </c>
      <c r="E208" s="556" t="s">
        <v>330</v>
      </c>
      <c r="F208" s="558" t="s">
        <v>331</v>
      </c>
    </row>
    <row r="209" spans="2:12" ht="30" customHeight="1" thickBot="1" x14ac:dyDescent="0.25">
      <c r="B209" s="562" t="s">
        <v>332</v>
      </c>
      <c r="C209" s="559" t="s">
        <v>328</v>
      </c>
      <c r="D209" s="456" t="s">
        <v>329</v>
      </c>
      <c r="E209" s="559" t="s">
        <v>330</v>
      </c>
      <c r="F209" s="560" t="s">
        <v>333</v>
      </c>
    </row>
    <row r="210" spans="2:12" ht="30" customHeight="1" thickBot="1" x14ac:dyDescent="0.25">
      <c r="B210" s="569"/>
      <c r="F210" s="570"/>
    </row>
    <row r="211" spans="2:12" ht="30" customHeight="1" x14ac:dyDescent="0.2">
      <c r="B211" s="569"/>
      <c r="C211" s="550" t="s">
        <v>334</v>
      </c>
      <c r="D211" s="551" t="s">
        <v>335</v>
      </c>
      <c r="E211" s="552" t="s">
        <v>336</v>
      </c>
      <c r="F211" s="570"/>
    </row>
    <row r="212" spans="2:12" ht="30" customHeight="1" x14ac:dyDescent="0.2">
      <c r="B212" s="569"/>
      <c r="C212" s="563" t="e">
        <f>'RT03-F34 #'!G21</f>
        <v>#N/A</v>
      </c>
      <c r="D212" s="455">
        <v>1</v>
      </c>
      <c r="E212" s="564">
        <v>-1</v>
      </c>
      <c r="F212" s="570"/>
    </row>
    <row r="213" spans="2:12" ht="30" customHeight="1" x14ac:dyDescent="0.2">
      <c r="B213" s="569"/>
      <c r="C213" s="563" t="e">
        <f>'RT03-F34 #'!G22</f>
        <v>#N/A</v>
      </c>
      <c r="D213" s="455">
        <v>1</v>
      </c>
      <c r="E213" s="564">
        <v>-1</v>
      </c>
      <c r="F213" s="571"/>
      <c r="G213" s="46"/>
      <c r="H213" s="46"/>
      <c r="I213" s="46"/>
      <c r="J213" s="46"/>
      <c r="K213" s="46"/>
      <c r="L213" s="46"/>
    </row>
    <row r="214" spans="2:12" ht="30" customHeight="1" x14ac:dyDescent="0.2">
      <c r="B214" s="569"/>
      <c r="C214" s="563" t="e">
        <f>'RT03-F34 #'!G23</f>
        <v>#N/A</v>
      </c>
      <c r="D214" s="455">
        <v>1</v>
      </c>
      <c r="E214" s="564">
        <v>-1</v>
      </c>
      <c r="F214" s="571"/>
      <c r="G214" s="46"/>
      <c r="H214" s="46"/>
      <c r="I214" s="46"/>
      <c r="J214" s="46"/>
      <c r="K214" s="46"/>
      <c r="L214" s="46"/>
    </row>
    <row r="215" spans="2:12" ht="30" customHeight="1" x14ac:dyDescent="0.2">
      <c r="B215" s="569"/>
      <c r="C215" s="563" t="e">
        <f>'RT03-F34 #'!G24</f>
        <v>#N/A</v>
      </c>
      <c r="D215" s="455">
        <v>1</v>
      </c>
      <c r="E215" s="564">
        <v>-1</v>
      </c>
      <c r="F215" s="570"/>
      <c r="H215" s="46"/>
    </row>
    <row r="216" spans="2:12" ht="30" customHeight="1" x14ac:dyDescent="0.2">
      <c r="B216" s="569"/>
      <c r="C216" s="563" t="e">
        <f>C215</f>
        <v>#N/A</v>
      </c>
      <c r="D216" s="455">
        <v>2</v>
      </c>
      <c r="E216" s="564">
        <v>-2</v>
      </c>
      <c r="F216" s="570"/>
      <c r="H216" s="46"/>
    </row>
    <row r="217" spans="2:12" ht="30" customHeight="1" thickBot="1" x14ac:dyDescent="0.25">
      <c r="B217" s="569"/>
      <c r="C217" s="565" t="e">
        <f>'RT03-F34 #'!G25</f>
        <v>#N/A</v>
      </c>
      <c r="D217" s="456">
        <v>2</v>
      </c>
      <c r="E217" s="560">
        <v>-2</v>
      </c>
      <c r="F217" s="570"/>
      <c r="H217" s="46"/>
    </row>
    <row r="218" spans="2:12" ht="30" customHeight="1" x14ac:dyDescent="0.2">
      <c r="B218" s="569"/>
      <c r="F218" s="570"/>
      <c r="H218" s="46"/>
    </row>
    <row r="219" spans="2:12" ht="30" customHeight="1" x14ac:dyDescent="0.2">
      <c r="B219" s="569"/>
      <c r="F219" s="570"/>
      <c r="H219" s="46"/>
    </row>
    <row r="220" spans="2:12" ht="30" customHeight="1" thickBot="1" x14ac:dyDescent="0.25">
      <c r="B220" s="572"/>
      <c r="C220" s="573"/>
      <c r="D220" s="573"/>
      <c r="E220" s="573"/>
      <c r="F220" s="574"/>
      <c r="H220" s="46"/>
    </row>
    <row r="221" spans="2:12" ht="30" customHeight="1" x14ac:dyDescent="0.2">
      <c r="H221" s="46"/>
    </row>
    <row r="222" spans="2:12" ht="30" customHeight="1" x14ac:dyDescent="0.2"/>
    <row r="223" spans="2:12" ht="30" customHeight="1" x14ac:dyDescent="0.2"/>
    <row r="224" spans="2:12" ht="30" customHeight="1" x14ac:dyDescent="0.2"/>
    <row r="225" ht="30" customHeight="1" x14ac:dyDescent="0.2"/>
    <row r="226" ht="30" customHeight="1" x14ac:dyDescent="0.2"/>
    <row r="227" ht="30" customHeight="1" x14ac:dyDescent="0.2"/>
    <row r="228" ht="30" customHeight="1" x14ac:dyDescent="0.2"/>
    <row r="229" ht="30" customHeight="1" x14ac:dyDescent="0.2"/>
    <row r="230" ht="30" customHeight="1" x14ac:dyDescent="0.2"/>
    <row r="231" ht="30" customHeight="1" x14ac:dyDescent="0.2"/>
    <row r="232" ht="30" customHeight="1" x14ac:dyDescent="0.2"/>
    <row r="233" ht="30" customHeight="1" x14ac:dyDescent="0.2"/>
    <row r="234" ht="30" customHeight="1" x14ac:dyDescent="0.2"/>
    <row r="235" ht="30" customHeight="1" x14ac:dyDescent="0.2"/>
    <row r="236" ht="30" customHeight="1" x14ac:dyDescent="0.2"/>
    <row r="237" ht="30" customHeight="1" x14ac:dyDescent="0.2"/>
    <row r="238" ht="30" customHeight="1" x14ac:dyDescent="0.2"/>
    <row r="239" ht="30" customHeight="1" x14ac:dyDescent="0.2"/>
    <row r="240" ht="30" customHeight="1" x14ac:dyDescent="0.2"/>
    <row r="241" ht="30" customHeight="1" x14ac:dyDescent="0.2"/>
    <row r="242" ht="30" customHeight="1" x14ac:dyDescent="0.2"/>
    <row r="243" ht="30" customHeight="1" x14ac:dyDescent="0.2"/>
    <row r="244" ht="30" customHeight="1" x14ac:dyDescent="0.2"/>
    <row r="245" ht="30" customHeight="1" x14ac:dyDescent="0.2"/>
    <row r="246" ht="30" customHeight="1" x14ac:dyDescent="0.2"/>
    <row r="247" ht="30" customHeight="1" x14ac:dyDescent="0.2"/>
    <row r="248" ht="30" customHeight="1" x14ac:dyDescent="0.2"/>
    <row r="249" ht="30" customHeight="1" x14ac:dyDescent="0.2"/>
    <row r="250" ht="30" customHeight="1" x14ac:dyDescent="0.2"/>
    <row r="251" ht="30" customHeight="1" x14ac:dyDescent="0.2"/>
    <row r="252" ht="30" customHeight="1" x14ac:dyDescent="0.2"/>
    <row r="253" ht="30" customHeight="1" x14ac:dyDescent="0.2"/>
    <row r="254" ht="30" customHeight="1" x14ac:dyDescent="0.2"/>
    <row r="255" ht="30" customHeight="1" x14ac:dyDescent="0.2"/>
    <row r="256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</sheetData>
  <sheetProtection algorithmName="SHA-512" hashValue="165ExiHcPmG0wVAWc33ha1Yhvwcb2lsgFtB06F81wcu5gqBPWzN9TFej6altakNjSsKe3wvU+1cDPho5Es07nw==" saltValue="b13IVLdkEYNu9H0lbBdh0A==" spinCount="100000" sheet="1" objects="1" scenarios="1"/>
  <mergeCells count="163">
    <mergeCell ref="A1:D3"/>
    <mergeCell ref="E1:V3"/>
    <mergeCell ref="B101:B104"/>
    <mergeCell ref="T74:T93"/>
    <mergeCell ref="O131:Q132"/>
    <mergeCell ref="T94:T100"/>
    <mergeCell ref="C167:C175"/>
    <mergeCell ref="A159:B161"/>
    <mergeCell ref="J159:J161"/>
    <mergeCell ref="K159:K161"/>
    <mergeCell ref="L159:L161"/>
    <mergeCell ref="K156:K158"/>
    <mergeCell ref="A162:B164"/>
    <mergeCell ref="J162:J164"/>
    <mergeCell ref="K162:K164"/>
    <mergeCell ref="L162:L164"/>
    <mergeCell ref="C156:C164"/>
    <mergeCell ref="L156:L158"/>
    <mergeCell ref="A156:B158"/>
    <mergeCell ref="D156:D164"/>
    <mergeCell ref="J156:J158"/>
    <mergeCell ref="T105:T120"/>
    <mergeCell ref="U24:V25"/>
    <mergeCell ref="B29:B35"/>
    <mergeCell ref="M189:P189"/>
    <mergeCell ref="C145:C153"/>
    <mergeCell ref="T29:T35"/>
    <mergeCell ref="A180:B182"/>
    <mergeCell ref="A177:B179"/>
    <mergeCell ref="A183:B185"/>
    <mergeCell ref="C177:C185"/>
    <mergeCell ref="A170:B172"/>
    <mergeCell ref="J170:J172"/>
    <mergeCell ref="K170:K172"/>
    <mergeCell ref="A167:B169"/>
    <mergeCell ref="D167:D175"/>
    <mergeCell ref="J167:J169"/>
    <mergeCell ref="K167:K169"/>
    <mergeCell ref="L167:L169"/>
    <mergeCell ref="A173:B175"/>
    <mergeCell ref="J173:J175"/>
    <mergeCell ref="E177:E185"/>
    <mergeCell ref="J180:J182"/>
    <mergeCell ref="K180:K182"/>
    <mergeCell ref="B188:G188"/>
    <mergeCell ref="A148:B150"/>
    <mergeCell ref="J148:J150"/>
    <mergeCell ref="T101:T104"/>
    <mergeCell ref="M188:P188"/>
    <mergeCell ref="L170:L172"/>
    <mergeCell ref="N131:N132"/>
    <mergeCell ref="A151:B153"/>
    <mergeCell ref="A140:B142"/>
    <mergeCell ref="A145:B147"/>
    <mergeCell ref="D145:D153"/>
    <mergeCell ref="J145:J147"/>
    <mergeCell ref="K145:K147"/>
    <mergeCell ref="L145:L147"/>
    <mergeCell ref="L134:L136"/>
    <mergeCell ref="K148:K150"/>
    <mergeCell ref="L148:L150"/>
    <mergeCell ref="J140:J142"/>
    <mergeCell ref="L131:L132"/>
    <mergeCell ref="C134:C142"/>
    <mergeCell ref="E134:E142"/>
    <mergeCell ref="K137:K139"/>
    <mergeCell ref="J131:J132"/>
    <mergeCell ref="H131:H132"/>
    <mergeCell ref="I131:I132"/>
    <mergeCell ref="E131:E132"/>
    <mergeCell ref="F131:F132"/>
    <mergeCell ref="G131:G132"/>
    <mergeCell ref="L151:L153"/>
    <mergeCell ref="E156:E164"/>
    <mergeCell ref="E167:E175"/>
    <mergeCell ref="A128:Q129"/>
    <mergeCell ref="C24:T25"/>
    <mergeCell ref="D131:D132"/>
    <mergeCell ref="A130:Q130"/>
    <mergeCell ref="B74:B92"/>
    <mergeCell ref="A131:B132"/>
    <mergeCell ref="C131:C132"/>
    <mergeCell ref="K131:K132"/>
    <mergeCell ref="J151:J153"/>
    <mergeCell ref="K151:K153"/>
    <mergeCell ref="L180:L182"/>
    <mergeCell ref="D177:D185"/>
    <mergeCell ref="J177:J179"/>
    <mergeCell ref="K177:K179"/>
    <mergeCell ref="J183:J185"/>
    <mergeCell ref="K183:K185"/>
    <mergeCell ref="L183:L185"/>
    <mergeCell ref="L177:L179"/>
    <mergeCell ref="K173:K175"/>
    <mergeCell ref="L173:L175"/>
    <mergeCell ref="V26:V27"/>
    <mergeCell ref="Q26:Q27"/>
    <mergeCell ref="C7:C8"/>
    <mergeCell ref="L15:L16"/>
    <mergeCell ref="C191:D191"/>
    <mergeCell ref="E191:F191"/>
    <mergeCell ref="S26:S27"/>
    <mergeCell ref="B56:B71"/>
    <mergeCell ref="B39:B55"/>
    <mergeCell ref="R26:R27"/>
    <mergeCell ref="P26:P27"/>
    <mergeCell ref="J26:J27"/>
    <mergeCell ref="L26:L27"/>
    <mergeCell ref="N26:N27"/>
    <mergeCell ref="L137:L139"/>
    <mergeCell ref="L140:L142"/>
    <mergeCell ref="K134:K136"/>
    <mergeCell ref="J134:J136"/>
    <mergeCell ref="J137:J139"/>
    <mergeCell ref="K140:K142"/>
    <mergeCell ref="A134:B136"/>
    <mergeCell ref="K7:K8"/>
    <mergeCell ref="L7:L8"/>
    <mergeCell ref="F7:F8"/>
    <mergeCell ref="U26:U27"/>
    <mergeCell ref="T121:T126"/>
    <mergeCell ref="T26:T27"/>
    <mergeCell ref="T39:T55"/>
    <mergeCell ref="T56:T71"/>
    <mergeCell ref="M26:M27"/>
    <mergeCell ref="K26:K27"/>
    <mergeCell ref="C26:C27"/>
    <mergeCell ref="D26:D27"/>
    <mergeCell ref="E26:E27"/>
    <mergeCell ref="F26:F27"/>
    <mergeCell ref="C5:L6"/>
    <mergeCell ref="B121:B126"/>
    <mergeCell ref="C13:L14"/>
    <mergeCell ref="C15:C16"/>
    <mergeCell ref="D15:D16"/>
    <mergeCell ref="E15:E16"/>
    <mergeCell ref="F15:F16"/>
    <mergeCell ref="H15:H16"/>
    <mergeCell ref="I15:I16"/>
    <mergeCell ref="J15:J16"/>
    <mergeCell ref="K15:K16"/>
    <mergeCell ref="G15:G16"/>
    <mergeCell ref="G26:G27"/>
    <mergeCell ref="H26:H27"/>
    <mergeCell ref="I26:I27"/>
    <mergeCell ref="D7:D8"/>
    <mergeCell ref="E7:E8"/>
    <mergeCell ref="J7:J8"/>
    <mergeCell ref="G7:G8"/>
    <mergeCell ref="H7:H8"/>
    <mergeCell ref="I7:I8"/>
    <mergeCell ref="B206:F206"/>
    <mergeCell ref="B105:B120"/>
    <mergeCell ref="C193:D193"/>
    <mergeCell ref="E193:F193"/>
    <mergeCell ref="C189:G189"/>
    <mergeCell ref="C190:D190"/>
    <mergeCell ref="E190:F190"/>
    <mergeCell ref="C192:D192"/>
    <mergeCell ref="E192:F192"/>
    <mergeCell ref="D134:D142"/>
    <mergeCell ref="A137:B139"/>
    <mergeCell ref="E145:E153"/>
  </mergeCells>
  <phoneticPr fontId="60" type="noConversion"/>
  <pageMargins left="0.70866141732283472" right="0.70866141732283472" top="0.74803149606299213" bottom="0.74803149606299213" header="0.31496062992125984" footer="0.31496062992125984"/>
  <pageSetup scale="10" orientation="landscape" r:id="rId1"/>
  <headerFooter>
    <oddFooter>&amp;RRT03-F34 Vr.10 (2022-06-30)
Página &amp;P de 3</oddFooter>
  </headerFooter>
  <rowBreaks count="1" manualBreakCount="1">
    <brk id="127" max="2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B194"/>
  <sheetViews>
    <sheetView showGridLines="0" tabSelected="1" view="pageBreakPreview" topLeftCell="D1" zoomScale="80" zoomScaleNormal="80" zoomScaleSheetLayoutView="80" workbookViewId="0">
      <selection activeCell="D6" sqref="D6"/>
    </sheetView>
  </sheetViews>
  <sheetFormatPr baseColWidth="10" defaultColWidth="15.7109375" defaultRowHeight="35.1" customHeight="1" x14ac:dyDescent="0.2"/>
  <cols>
    <col min="1" max="1" width="16.7109375" style="1" customWidth="1"/>
    <col min="2" max="4" width="17.7109375" style="6" customWidth="1"/>
    <col min="5" max="5" width="20.42578125" style="6" customWidth="1"/>
    <col min="6" max="8" width="16.7109375" style="6" customWidth="1"/>
    <col min="9" max="9" width="21" style="6" customWidth="1"/>
    <col min="10" max="11" width="16.7109375" style="6" customWidth="1"/>
    <col min="12" max="12" width="19.42578125" style="1" customWidth="1"/>
    <col min="13" max="13" width="20.5703125" style="1" customWidth="1"/>
    <col min="14" max="16" width="18.7109375" style="1" customWidth="1"/>
    <col min="17" max="17" width="14.28515625" style="1" customWidth="1"/>
    <col min="18" max="18" width="11.28515625" style="305" customWidth="1"/>
    <col min="19" max="20" width="10.85546875" style="305" customWidth="1"/>
    <col min="21" max="21" width="12.28515625" style="305" customWidth="1"/>
    <col min="22" max="22" width="10.7109375" style="305" customWidth="1"/>
    <col min="23" max="23" width="7.140625" style="305" customWidth="1"/>
    <col min="24" max="24" width="5.85546875" style="305" customWidth="1"/>
    <col min="25" max="25" width="5.140625" style="305" customWidth="1"/>
    <col min="26" max="16384" width="15.7109375" style="1"/>
  </cols>
  <sheetData>
    <row r="1" spans="1:28" ht="35.1" customHeight="1" thickBot="1" x14ac:dyDescent="0.25">
      <c r="A1" s="1099"/>
      <c r="B1" s="1099"/>
      <c r="C1" s="1099"/>
      <c r="D1" s="1104" t="s">
        <v>0</v>
      </c>
      <c r="E1" s="1105"/>
      <c r="F1" s="1105"/>
      <c r="G1" s="1105"/>
      <c r="H1" s="1105"/>
      <c r="I1" s="1105"/>
      <c r="J1" s="1105"/>
      <c r="K1" s="1105"/>
      <c r="L1" s="1105"/>
      <c r="M1" s="1105"/>
      <c r="N1" s="1105"/>
      <c r="O1" s="1105"/>
      <c r="P1" s="1105"/>
      <c r="Q1" s="1105"/>
      <c r="X1" s="1"/>
      <c r="Y1" s="1"/>
    </row>
    <row r="2" spans="1:28" ht="35.1" customHeight="1" thickBot="1" x14ac:dyDescent="0.25">
      <c r="A2" s="1099"/>
      <c r="B2" s="1099"/>
      <c r="C2" s="1099"/>
      <c r="D2" s="1106"/>
      <c r="E2" s="1107"/>
      <c r="F2" s="1107"/>
      <c r="G2" s="1107"/>
      <c r="H2" s="1107"/>
      <c r="I2" s="1107"/>
      <c r="J2" s="1107"/>
      <c r="K2" s="1107"/>
      <c r="L2" s="1107"/>
      <c r="M2" s="1107"/>
      <c r="N2" s="1107"/>
      <c r="O2" s="1107"/>
      <c r="P2" s="1107"/>
      <c r="Q2" s="1107"/>
      <c r="X2" s="1"/>
      <c r="Y2" s="1"/>
    </row>
    <row r="3" spans="1:28" ht="35.1" customHeight="1" thickBot="1" x14ac:dyDescent="0.25">
      <c r="A3" s="1099"/>
      <c r="B3" s="1099"/>
      <c r="C3" s="1099"/>
      <c r="D3" s="1108"/>
      <c r="E3" s="1109"/>
      <c r="F3" s="1109"/>
      <c r="G3" s="1109"/>
      <c r="H3" s="1109"/>
      <c r="I3" s="1109"/>
      <c r="J3" s="1109"/>
      <c r="K3" s="1109"/>
      <c r="L3" s="1109"/>
      <c r="M3" s="1109"/>
      <c r="N3" s="1109"/>
      <c r="O3" s="1109"/>
      <c r="P3" s="1109"/>
      <c r="Q3" s="1109"/>
      <c r="X3" s="1"/>
      <c r="Y3" s="1"/>
    </row>
    <row r="4" spans="1:28" s="5" customFormat="1" ht="1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R4" s="305"/>
      <c r="S4" s="305"/>
      <c r="T4" s="305"/>
      <c r="U4" s="305"/>
      <c r="V4" s="305"/>
      <c r="W4" s="305"/>
      <c r="X4" s="1"/>
      <c r="Y4" s="1"/>
      <c r="Z4" s="1"/>
      <c r="AA4" s="1"/>
      <c r="AB4" s="1"/>
    </row>
    <row r="5" spans="1:28" ht="44.25" customHeight="1" thickBot="1" x14ac:dyDescent="0.25">
      <c r="B5" s="36" t="s">
        <v>3</v>
      </c>
      <c r="C5" s="37" t="s">
        <v>337</v>
      </c>
      <c r="D5" s="37" t="s">
        <v>338</v>
      </c>
      <c r="E5" s="37" t="s">
        <v>339</v>
      </c>
      <c r="F5" s="37" t="s">
        <v>7</v>
      </c>
      <c r="G5" s="321" t="s">
        <v>340</v>
      </c>
      <c r="H5" s="1228"/>
      <c r="J5" s="1"/>
      <c r="K5" s="1"/>
      <c r="P5" s="305"/>
      <c r="Q5" s="305"/>
      <c r="X5" s="1"/>
      <c r="Y5" s="1"/>
    </row>
    <row r="6" spans="1:28" ht="60" customHeight="1" thickBot="1" x14ac:dyDescent="0.25">
      <c r="A6" s="6"/>
      <c r="B6" s="35" t="e">
        <f>VLOOKUP($H$5,'DATOS # '!$C$9:$K$23,2,FALSE)</f>
        <v>#N/A</v>
      </c>
      <c r="C6" s="39" t="e">
        <f>VLOOKUP($H$5,'DATOS # '!$C$9:$K$23,3,FALSE)</f>
        <v>#N/A</v>
      </c>
      <c r="D6" s="35" t="e">
        <f>VLOOKUP($H$5,'DATOS # '!$C$9:$K$23,4,FALSE)</f>
        <v>#N/A</v>
      </c>
      <c r="E6" s="35" t="e">
        <f>VLOOKUP($H$5,'DATOS # '!$C$9:$K$23,5,FALSE)</f>
        <v>#N/A</v>
      </c>
      <c r="F6" s="39" t="e">
        <f>VLOOKUP($H$5,'DATOS # '!$C$9:$K$23,6,FALSE)</f>
        <v>#N/A</v>
      </c>
      <c r="G6" s="35" t="e">
        <f>VLOOKUP($H$5,'DATOS # '!$C$9:$K$23,7,FALSE)</f>
        <v>#N/A</v>
      </c>
      <c r="H6" s="1229"/>
      <c r="J6" s="1"/>
      <c r="K6" s="1"/>
      <c r="P6" s="305"/>
      <c r="Q6" s="305"/>
      <c r="X6" s="1"/>
      <c r="Y6" s="1"/>
    </row>
    <row r="7" spans="1:28" ht="9.9499999999999993" customHeight="1" thickBot="1" x14ac:dyDescent="0.25">
      <c r="B7" s="7"/>
      <c r="C7" s="8"/>
      <c r="D7" s="9"/>
      <c r="E7" s="8"/>
      <c r="F7" s="7"/>
      <c r="G7" s="10"/>
      <c r="H7" s="11"/>
      <c r="I7" s="7"/>
      <c r="J7" s="8"/>
      <c r="K7" s="8"/>
    </row>
    <row r="8" spans="1:28" ht="35.1" customHeight="1" thickBot="1" x14ac:dyDescent="0.25">
      <c r="B8" s="1072" t="s">
        <v>544</v>
      </c>
      <c r="C8" s="1073"/>
      <c r="D8" s="1076"/>
      <c r="E8" s="1077"/>
      <c r="F8" s="55"/>
      <c r="G8" s="1075" t="s">
        <v>341</v>
      </c>
      <c r="H8" s="1076"/>
      <c r="I8" s="1076"/>
      <c r="J8" s="1077"/>
      <c r="K8" s="56"/>
      <c r="L8" s="126"/>
    </row>
    <row r="9" spans="1:28" ht="35.1" customHeight="1" thickBot="1" x14ac:dyDescent="0.25">
      <c r="B9" s="1114" t="s">
        <v>13</v>
      </c>
      <c r="C9" s="1115"/>
      <c r="D9" s="1040" t="e">
        <f>VLOOKUP($F$8,'DATOS # '!$B$17:$L$23,3,FALSE)</f>
        <v>#N/A</v>
      </c>
      <c r="E9" s="1041"/>
      <c r="F9" s="13"/>
      <c r="G9" s="1112" t="s">
        <v>342</v>
      </c>
      <c r="H9" s="1113"/>
      <c r="I9" s="1110" t="e">
        <f>VLOOKUP($K$8,'DATOS # '!$B$28:$S$127,1,FALSE)</f>
        <v>#N/A</v>
      </c>
      <c r="J9" s="1111"/>
      <c r="K9" s="12"/>
      <c r="L9" s="12"/>
    </row>
    <row r="10" spans="1:28" ht="35.1" customHeight="1" thickBot="1" x14ac:dyDescent="0.25">
      <c r="B10" s="1044" t="s">
        <v>14</v>
      </c>
      <c r="C10" s="1045"/>
      <c r="D10" s="1040" t="e">
        <f>VLOOKUP($F$8,'DATOS # '!$B$17:$L$23,4,FALSE)</f>
        <v>#N/A</v>
      </c>
      <c r="E10" s="1041"/>
      <c r="F10" s="13"/>
      <c r="G10" s="1044" t="s">
        <v>13</v>
      </c>
      <c r="H10" s="1116"/>
      <c r="I10" s="1050" t="e">
        <f>VLOOKUP($K$8,'DATOS # '!$B$28:$T$127,4,FALSE)</f>
        <v>#N/A</v>
      </c>
      <c r="J10" s="1051"/>
      <c r="L10" s="12"/>
      <c r="M10" s="14"/>
      <c r="N10" s="14"/>
      <c r="O10" s="14"/>
      <c r="P10" s="14"/>
    </row>
    <row r="11" spans="1:28" ht="35.1" customHeight="1" thickBot="1" x14ac:dyDescent="0.25">
      <c r="B11" s="1044" t="s">
        <v>15</v>
      </c>
      <c r="C11" s="1045"/>
      <c r="D11" s="1040" t="e">
        <f>VLOOKUP($F$8,'DATOS # '!$B$17:$L$23,5,FALSE)</f>
        <v>#N/A</v>
      </c>
      <c r="E11" s="1041"/>
      <c r="F11" s="13"/>
      <c r="G11" s="1034" t="s">
        <v>27</v>
      </c>
      <c r="H11" s="1035"/>
      <c r="I11" s="1050" t="e">
        <f>VLOOKUP($K$8,'DATOS # '!$B$28:$T$127,3,FALSE)</f>
        <v>#N/A</v>
      </c>
      <c r="J11" s="1051"/>
      <c r="K11" s="12"/>
      <c r="L11" s="12"/>
      <c r="P11" s="14"/>
    </row>
    <row r="12" spans="1:28" s="14" customFormat="1" ht="35.1" customHeight="1" thickBot="1" x14ac:dyDescent="0.25">
      <c r="B12" s="1117" t="s">
        <v>343</v>
      </c>
      <c r="C12" s="1118"/>
      <c r="D12" s="1040" t="e">
        <f>VLOOKUP($F$8,'DATOS # '!$B$17:$L$23,6,FALSE)</f>
        <v>#N/A</v>
      </c>
      <c r="E12" s="1041"/>
      <c r="F12" s="15"/>
      <c r="G12" s="1044" t="s">
        <v>344</v>
      </c>
      <c r="H12" s="1116"/>
      <c r="I12" s="1038" t="e">
        <f>VLOOKUP($K$8,'DATOS # '!$B$28:$T$127,7,FALSE)</f>
        <v>#N/A</v>
      </c>
      <c r="J12" s="1039"/>
      <c r="K12" s="8"/>
      <c r="Q12" s="1"/>
      <c r="R12" s="305"/>
      <c r="S12" s="305"/>
      <c r="T12" s="305"/>
      <c r="U12" s="307"/>
      <c r="V12" s="307"/>
      <c r="W12" s="307"/>
      <c r="X12" s="307"/>
      <c r="Y12" s="307"/>
    </row>
    <row r="13" spans="1:28" s="14" customFormat="1" ht="35.1" customHeight="1" thickBot="1" x14ac:dyDescent="0.25">
      <c r="B13" s="1044" t="s">
        <v>345</v>
      </c>
      <c r="C13" s="1045"/>
      <c r="D13" s="1040" t="e">
        <f>VLOOKUP($F$8,'DATOS # '!$B$17:$L$23,7,FALSE)</f>
        <v>#N/A</v>
      </c>
      <c r="E13" s="1041"/>
      <c r="F13" s="15"/>
      <c r="G13" s="1044" t="s">
        <v>535</v>
      </c>
      <c r="H13" s="1116"/>
      <c r="I13" s="1046" t="e">
        <f>VLOOKUP($K$8,'DATOS # '!$B$28:$T$127,8,FALSE)</f>
        <v>#N/A</v>
      </c>
      <c r="J13" s="1047"/>
      <c r="K13" s="8"/>
      <c r="R13" s="307"/>
      <c r="S13" s="307"/>
      <c r="T13" s="307"/>
      <c r="U13" s="307"/>
      <c r="V13" s="307"/>
      <c r="W13" s="307"/>
      <c r="X13" s="307"/>
      <c r="Y13" s="307"/>
    </row>
    <row r="14" spans="1:28" s="14" customFormat="1" ht="35.1" customHeight="1" thickBot="1" x14ac:dyDescent="0.25">
      <c r="B14" s="1119" t="s">
        <v>346</v>
      </c>
      <c r="C14" s="1120"/>
      <c r="D14" s="1042" t="e">
        <f>VLOOKUP($F$8,'DATOS # '!$B$17:$L$23,8,FALSE)</f>
        <v>#N/A</v>
      </c>
      <c r="E14" s="1043"/>
      <c r="F14" s="15"/>
      <c r="G14" s="1044" t="s">
        <v>39</v>
      </c>
      <c r="H14" s="1116"/>
      <c r="I14" s="1050" t="e">
        <f>VLOOKUP($K$8,'DATOS # '!$B$28:$T$127,18,FALSE)</f>
        <v>#N/A</v>
      </c>
      <c r="J14" s="1051"/>
      <c r="K14" s="8"/>
      <c r="L14" s="16"/>
      <c r="R14" s="307"/>
      <c r="S14" s="307"/>
      <c r="T14" s="307"/>
      <c r="U14" s="307"/>
      <c r="V14" s="307"/>
      <c r="W14" s="307"/>
      <c r="X14" s="307"/>
      <c r="Y14" s="307"/>
    </row>
    <row r="15" spans="1:28" s="14" customFormat="1" ht="35.1" customHeight="1" thickBot="1" x14ac:dyDescent="0.25">
      <c r="B15" s="1036" t="s">
        <v>347</v>
      </c>
      <c r="C15" s="1037"/>
      <c r="D15" s="1070" t="e">
        <f>VLOOKUP($F$8,'DATOS # '!$B$17:$L$23,9,FALSE)</f>
        <v>#N/A</v>
      </c>
      <c r="E15" s="1071"/>
      <c r="F15" s="15"/>
      <c r="G15" s="1052" t="s">
        <v>5</v>
      </c>
      <c r="H15" s="1053"/>
      <c r="I15" s="1054" t="e">
        <f>VLOOKUP($K$8,'DATOS # '!$B$28:$T$127,17,FALSE)</f>
        <v>#N/A</v>
      </c>
      <c r="J15" s="1055"/>
      <c r="K15" s="8"/>
      <c r="R15" s="307"/>
      <c r="S15" s="307"/>
      <c r="T15" s="307"/>
      <c r="U15" s="307"/>
      <c r="V15" s="307"/>
      <c r="W15" s="307"/>
      <c r="X15" s="307"/>
      <c r="Y15" s="307"/>
    </row>
    <row r="16" spans="1:28" s="14" customFormat="1" ht="9.9499999999999993" customHeight="1" thickBot="1" x14ac:dyDescent="0.3">
      <c r="B16" s="17"/>
      <c r="C16" s="17"/>
      <c r="D16" s="17"/>
      <c r="E16" s="17"/>
      <c r="F16" s="17"/>
      <c r="G16" s="18"/>
      <c r="H16" s="18"/>
      <c r="J16" s="17"/>
      <c r="K16" s="8"/>
      <c r="L16" s="8"/>
      <c r="R16" s="307"/>
      <c r="S16" s="307"/>
      <c r="T16" s="307"/>
      <c r="U16" s="307"/>
      <c r="V16" s="307"/>
      <c r="W16" s="307"/>
      <c r="X16" s="307"/>
      <c r="Y16" s="307"/>
    </row>
    <row r="17" spans="1:25" s="14" customFormat="1" ht="35.1" customHeight="1" thickBot="1" x14ac:dyDescent="0.3">
      <c r="B17" s="1075" t="s">
        <v>348</v>
      </c>
      <c r="C17" s="1076"/>
      <c r="D17" s="1073"/>
      <c r="E17" s="1073"/>
      <c r="F17" s="1073"/>
      <c r="G17" s="1073"/>
      <c r="H17" s="1073"/>
      <c r="I17" s="1073"/>
      <c r="J17" s="1074"/>
      <c r="K17" s="8"/>
      <c r="L17" s="8"/>
      <c r="R17" s="307"/>
      <c r="S17" s="307"/>
      <c r="T17" s="307"/>
      <c r="U17" s="307"/>
      <c r="V17" s="307"/>
      <c r="W17" s="307"/>
      <c r="X17" s="307"/>
      <c r="Y17" s="307"/>
    </row>
    <row r="18" spans="1:25" s="14" customFormat="1" ht="35.1" customHeight="1" thickBot="1" x14ac:dyDescent="0.3">
      <c r="B18" s="1064" t="s">
        <v>349</v>
      </c>
      <c r="C18" s="1065"/>
      <c r="D18" s="1244"/>
      <c r="E18" s="93"/>
      <c r="F18" s="1246"/>
      <c r="G18" s="1089" t="s">
        <v>350</v>
      </c>
      <c r="H18" s="1090"/>
      <c r="I18" s="1090"/>
      <c r="J18" s="1091"/>
      <c r="K18" s="8"/>
      <c r="L18" s="8"/>
      <c r="R18" s="307"/>
      <c r="S18" s="307"/>
      <c r="T18" s="307"/>
      <c r="U18" s="307"/>
      <c r="V18" s="307"/>
      <c r="W18" s="307"/>
      <c r="X18" s="307"/>
      <c r="Y18" s="307"/>
    </row>
    <row r="19" spans="1:25" s="14" customFormat="1" ht="35.1" customHeight="1" thickBot="1" x14ac:dyDescent="0.3">
      <c r="B19" s="1066"/>
      <c r="C19" s="1067"/>
      <c r="D19" s="1245"/>
      <c r="E19" s="726"/>
      <c r="F19" s="1247"/>
      <c r="G19" s="1048" t="s">
        <v>351</v>
      </c>
      <c r="H19" s="1121" t="s">
        <v>352</v>
      </c>
      <c r="I19" s="1121" t="s">
        <v>353</v>
      </c>
      <c r="J19" s="1135" t="s">
        <v>354</v>
      </c>
      <c r="K19" s="8"/>
      <c r="L19" s="8"/>
      <c r="R19" s="307"/>
      <c r="S19" s="307"/>
      <c r="T19" s="307"/>
      <c r="U19" s="307"/>
      <c r="V19" s="307"/>
      <c r="W19" s="307"/>
      <c r="X19" s="307"/>
      <c r="Y19" s="307"/>
    </row>
    <row r="20" spans="1:25" s="14" customFormat="1" ht="35.1" customHeight="1" thickBot="1" x14ac:dyDescent="0.3">
      <c r="B20" s="1068"/>
      <c r="C20" s="1069"/>
      <c r="D20" s="1125"/>
      <c r="E20" s="1126"/>
      <c r="F20" s="1126"/>
      <c r="G20" s="1049"/>
      <c r="H20" s="1122"/>
      <c r="I20" s="1122"/>
      <c r="J20" s="1136"/>
      <c r="K20" s="8"/>
      <c r="L20" s="8"/>
      <c r="R20" s="307"/>
      <c r="S20" s="307"/>
      <c r="T20" s="307"/>
      <c r="U20" s="307"/>
      <c r="V20" s="307"/>
      <c r="W20" s="307"/>
      <c r="X20" s="307"/>
      <c r="Y20" s="307"/>
    </row>
    <row r="21" spans="1:25" s="14" customFormat="1" ht="35.1" customHeight="1" thickBot="1" x14ac:dyDescent="0.3">
      <c r="B21" s="1064" t="s">
        <v>355</v>
      </c>
      <c r="C21" s="1065"/>
      <c r="D21" s="1127"/>
      <c r="E21" s="1128"/>
      <c r="F21" s="1128"/>
      <c r="G21" s="215" t="e">
        <f>VLOOKUP($K$21,'DATOS # '!$C$28:$V$127,8,FALSE)</f>
        <v>#N/A</v>
      </c>
      <c r="H21" s="103" t="e">
        <f>VLOOKUP($K$21,'DATOS # '!$C$28:$V$127,12,FALSE)</f>
        <v>#N/A</v>
      </c>
      <c r="I21" s="295" t="e">
        <f>VLOOKUP($K$21,'DATOS # '!$C$28:$V$127,14,FALSE)</f>
        <v>#N/A</v>
      </c>
      <c r="J21" s="216" t="e">
        <f>VLOOKUP($K$21,'DATOS # '!$C$28:$V$127,5,FALSE)</f>
        <v>#N/A</v>
      </c>
      <c r="K21" s="728"/>
      <c r="L21" s="8"/>
      <c r="R21" s="307"/>
      <c r="S21" s="307"/>
      <c r="T21" s="307"/>
      <c r="U21" s="307"/>
      <c r="V21" s="307"/>
      <c r="W21" s="307"/>
      <c r="X21" s="307"/>
      <c r="Y21" s="307"/>
    </row>
    <row r="22" spans="1:25" s="14" customFormat="1" ht="35.1" customHeight="1" thickBot="1" x14ac:dyDescent="0.3">
      <c r="B22" s="1066"/>
      <c r="C22" s="1067"/>
      <c r="D22" s="726"/>
      <c r="E22" s="726"/>
      <c r="F22" s="727"/>
      <c r="G22" s="322" t="e">
        <f>VLOOKUP($K$22,'DATOS # '!$C$28:$V$127,8,FALSE)</f>
        <v>#N/A</v>
      </c>
      <c r="H22" s="154" t="e">
        <f>VLOOKUP($K$22,'DATOS # '!$C$28:$V$127,12,FALSE)</f>
        <v>#N/A</v>
      </c>
      <c r="I22" s="713" t="e">
        <f>VLOOKUP($K$22,'DATOS # '!$C$28:$V$127,14,FALSE)</f>
        <v>#N/A</v>
      </c>
      <c r="J22" s="94" t="e">
        <f>VLOOKUP($K$22,'DATOS # '!$C$28:$V$127,5,FALSE)</f>
        <v>#N/A</v>
      </c>
      <c r="K22" s="599"/>
      <c r="L22" s="8"/>
      <c r="R22" s="307"/>
      <c r="S22" s="307"/>
      <c r="T22" s="307"/>
      <c r="U22" s="307"/>
      <c r="V22" s="307"/>
      <c r="W22" s="307"/>
      <c r="X22" s="307"/>
      <c r="Y22" s="307"/>
    </row>
    <row r="23" spans="1:25" s="14" customFormat="1" ht="35.1" customHeight="1" thickBot="1" x14ac:dyDescent="0.3">
      <c r="A23" s="17"/>
      <c r="B23" s="1068"/>
      <c r="C23" s="1069"/>
      <c r="D23" s="1129"/>
      <c r="E23" s="1130"/>
      <c r="F23" s="1130"/>
      <c r="G23" s="322" t="e">
        <f>VLOOKUP($K$23,'DATOS # '!$C$28:$V$127,8,FALSE)</f>
        <v>#N/A</v>
      </c>
      <c r="H23" s="154" t="e">
        <f>VLOOKUP($K$23,'DATOS # '!$C$28:$V$127,12,FALSE)</f>
        <v>#N/A</v>
      </c>
      <c r="I23" s="713" t="e">
        <f>VLOOKUP($K$23,'DATOS # '!$C$28:$V$127,14,FALSE)</f>
        <v>#N/A</v>
      </c>
      <c r="J23" s="94" t="e">
        <f>VLOOKUP($K$23,'DATOS # '!$C$28:$V$127,5,FALSE)</f>
        <v>#N/A</v>
      </c>
      <c r="K23" s="728"/>
      <c r="L23" s="8"/>
      <c r="R23" s="307"/>
      <c r="S23" s="307"/>
      <c r="T23" s="307"/>
      <c r="U23" s="307"/>
      <c r="V23" s="307"/>
      <c r="W23" s="307"/>
      <c r="X23" s="307"/>
      <c r="Y23" s="307"/>
    </row>
    <row r="24" spans="1:25" s="14" customFormat="1" ht="35.1" customHeight="1" thickBot="1" x14ac:dyDescent="0.3">
      <c r="A24" s="17"/>
      <c r="C24" s="1131" t="s">
        <v>356</v>
      </c>
      <c r="D24" s="1132"/>
      <c r="E24" s="95"/>
      <c r="G24" s="322" t="e">
        <f>VLOOKUP($K$24,'DATOS # '!$C$28:$V$127,8,FALSE)</f>
        <v>#N/A</v>
      </c>
      <c r="H24" s="154" t="e">
        <f>VLOOKUP($K$24,'DATOS # '!$C$28:$V$127,12,FALSE)</f>
        <v>#N/A</v>
      </c>
      <c r="I24" s="713" t="e">
        <f>VLOOKUP($K$24,'DATOS # '!$C$28:$V$127,14,FALSE)</f>
        <v>#N/A</v>
      </c>
      <c r="J24" s="94" t="e">
        <f>VLOOKUP($K$24,'DATOS # '!$C$28:$V$127,5,FALSE)</f>
        <v>#N/A</v>
      </c>
      <c r="K24" s="599"/>
      <c r="L24" s="326"/>
      <c r="R24" s="307"/>
      <c r="S24" s="307"/>
      <c r="T24" s="307"/>
      <c r="U24" s="307"/>
      <c r="V24" s="307"/>
      <c r="W24" s="307"/>
      <c r="X24" s="307"/>
      <c r="Y24" s="307"/>
    </row>
    <row r="25" spans="1:25" s="14" customFormat="1" ht="35.1" customHeight="1" thickBot="1" x14ac:dyDescent="0.3">
      <c r="A25" s="19"/>
      <c r="B25" s="166" t="s">
        <v>357</v>
      </c>
      <c r="C25" s="246" t="s">
        <v>358</v>
      </c>
      <c r="D25" s="247" t="s">
        <v>359</v>
      </c>
      <c r="E25" s="242" t="s">
        <v>28</v>
      </c>
      <c r="G25" s="323" t="e">
        <f>VLOOKUP($K$25,'DATOS # '!$C$28:$V$127,8,FALSE)</f>
        <v>#N/A</v>
      </c>
      <c r="H25" s="327" t="e">
        <f>VLOOKUP($K$25,'DATOS # '!$C$28:$V$127,12,FALSE)</f>
        <v>#N/A</v>
      </c>
      <c r="I25" s="291" t="e">
        <f>VLOOKUP($K$25,'DATOS # '!$C$28:$V$127,14,FALSE)</f>
        <v>#N/A</v>
      </c>
      <c r="J25" s="92" t="e">
        <f>VLOOKUP($K$25,'DATOS # '!$C$28:$V$127,5,FALSE)</f>
        <v>#N/A</v>
      </c>
      <c r="K25" s="599"/>
      <c r="R25" s="307"/>
      <c r="S25" s="307"/>
      <c r="T25" s="307"/>
      <c r="U25" s="307"/>
      <c r="V25" s="307"/>
      <c r="W25" s="307"/>
      <c r="X25" s="307"/>
      <c r="Y25" s="307"/>
    </row>
    <row r="26" spans="1:25" s="14" customFormat="1" ht="35.1" customHeight="1" thickBot="1" x14ac:dyDescent="0.3">
      <c r="A26" s="17"/>
      <c r="B26" s="243" t="e">
        <f>VLOOKUP($E$24,'DATOS # '!$C$28:$T$90,8,FALSE)</f>
        <v>#N/A</v>
      </c>
      <c r="C26" s="244" t="e">
        <f>VLOOKUP($E$24,'DATOS # '!$C$28:$T$90,14,FALSE)</f>
        <v>#N/A</v>
      </c>
      <c r="D26" s="244" t="e">
        <f>VLOOKUP($E$24,'DATOS # '!$C$28:$T$90,16,FALSE)</f>
        <v>#N/A</v>
      </c>
      <c r="E26" s="245" t="e">
        <f>VLOOKUP($E$24,'DATOS # '!$C$28:$T$90,5,FALSE)</f>
        <v>#N/A</v>
      </c>
      <c r="R26" s="307"/>
      <c r="S26" s="307"/>
      <c r="T26" s="307"/>
      <c r="U26" s="307"/>
      <c r="V26" s="307"/>
      <c r="W26" s="307"/>
      <c r="X26" s="307"/>
      <c r="Y26" s="307"/>
    </row>
    <row r="27" spans="1:25" s="14" customFormat="1" ht="36" customHeight="1" thickBot="1" x14ac:dyDescent="0.3">
      <c r="A27" s="17"/>
      <c r="B27" s="1061" t="s">
        <v>360</v>
      </c>
      <c r="C27" s="1062"/>
      <c r="D27" s="1062"/>
      <c r="E27" s="1062"/>
      <c r="F27" s="1062"/>
      <c r="G27" s="1062"/>
      <c r="H27" s="1062"/>
      <c r="I27" s="1062"/>
      <c r="J27" s="1062"/>
      <c r="K27" s="1063"/>
      <c r="R27" s="307"/>
      <c r="S27" s="307"/>
      <c r="T27" s="307"/>
      <c r="U27" s="307"/>
      <c r="V27" s="307"/>
      <c r="W27" s="307"/>
      <c r="X27" s="307"/>
      <c r="Y27" s="307"/>
    </row>
    <row r="28" spans="1:25" ht="49.5" customHeight="1" x14ac:dyDescent="0.25">
      <c r="A28" s="17"/>
      <c r="B28" s="83" t="s">
        <v>13</v>
      </c>
      <c r="C28" s="84" t="e">
        <f>VLOOKUP($K$28,'DATOS # '!$H$196:$U$201,2,FALSE)</f>
        <v>#N/A</v>
      </c>
      <c r="D28" s="85" t="s">
        <v>361</v>
      </c>
      <c r="E28" s="86" t="e">
        <f>VLOOKUP($K$28,'DATOS # '!$H$196:$U$201,3,FALSE)</f>
        <v>#N/A</v>
      </c>
      <c r="F28" s="87" t="s">
        <v>344</v>
      </c>
      <c r="G28" s="1084" t="e">
        <f>VLOOKUP($K$28,'DATOS # '!$H$196:$U$201,5,FALSE)</f>
        <v>#N/A</v>
      </c>
      <c r="H28" s="1085"/>
      <c r="I28" s="85" t="s">
        <v>362</v>
      </c>
      <c r="J28" s="88" t="e">
        <f>VLOOKUP($K$28,'DATOS # '!$H$196:$U$201,4,FALSE)</f>
        <v>#N/A</v>
      </c>
      <c r="K28" s="1123"/>
    </row>
    <row r="29" spans="1:25" ht="35.1" customHeight="1" thickBot="1" x14ac:dyDescent="0.3">
      <c r="A29" s="17"/>
      <c r="B29" s="1133" t="s">
        <v>363</v>
      </c>
      <c r="C29" s="1134"/>
      <c r="D29" s="89" t="s">
        <v>364</v>
      </c>
      <c r="E29" s="90" t="e">
        <f>VLOOKUP($K$28,'DATOS # '!$H$196:$U$201,6,FALSE)</f>
        <v>#N/A</v>
      </c>
      <c r="F29" s="1081" t="s">
        <v>365</v>
      </c>
      <c r="G29" s="1081"/>
      <c r="H29" s="90" t="e">
        <f>VLOOKUP($K$28,'DATOS # '!$H$196:$U$201,7,FALSE)</f>
        <v>#N/A</v>
      </c>
      <c r="I29" s="91" t="s">
        <v>366</v>
      </c>
      <c r="J29" s="92" t="e">
        <f>VLOOKUP($K$28,'DATOS # '!$H$196:$U$201,8,FALSE)</f>
        <v>#N/A</v>
      </c>
      <c r="K29" s="1124"/>
    </row>
    <row r="30" spans="1:25" ht="35.1" customHeight="1" thickBot="1" x14ac:dyDescent="0.3">
      <c r="A30" s="17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25" ht="35.1" customHeight="1" thickBot="1" x14ac:dyDescent="0.25">
      <c r="A31" s="20"/>
      <c r="B31" s="1072" t="s">
        <v>367</v>
      </c>
      <c r="C31" s="1073"/>
      <c r="D31" s="1073"/>
      <c r="E31" s="1073"/>
      <c r="F31" s="1073"/>
      <c r="G31" s="1073"/>
      <c r="H31" s="1073"/>
      <c r="I31" s="1074"/>
      <c r="K31" s="1082" t="s">
        <v>368</v>
      </c>
      <c r="L31" s="1083"/>
    </row>
    <row r="32" spans="1:25" ht="38.25" customHeight="1" thickBot="1" x14ac:dyDescent="0.25">
      <c r="B32" s="128" t="s">
        <v>369</v>
      </c>
      <c r="C32" s="543"/>
      <c r="D32" s="145" t="s">
        <v>364</v>
      </c>
      <c r="E32" s="146"/>
      <c r="F32" s="38" t="s">
        <v>365</v>
      </c>
      <c r="G32" s="146"/>
      <c r="H32" s="142" t="s">
        <v>366</v>
      </c>
      <c r="I32" s="147"/>
      <c r="K32" s="21" t="s">
        <v>370</v>
      </c>
      <c r="L32" s="217" t="e">
        <f>VLOOKUP($K$8,'DATOS # '!$B$28:$V$112,19,FALSE)</f>
        <v>#N/A</v>
      </c>
    </row>
    <row r="33" spans="1:15" ht="35.1" customHeight="1" thickBot="1" x14ac:dyDescent="0.25">
      <c r="A33" s="6"/>
      <c r="B33" s="994" t="s">
        <v>371</v>
      </c>
      <c r="C33" s="995"/>
      <c r="D33" s="995"/>
      <c r="E33" s="995"/>
      <c r="F33" s="995"/>
      <c r="G33" s="996"/>
    </row>
    <row r="34" spans="1:15" ht="35.1" customHeight="1" thickBot="1" x14ac:dyDescent="0.25">
      <c r="A34" s="6"/>
      <c r="C34" s="141" t="s">
        <v>372</v>
      </c>
      <c r="D34" s="142" t="s">
        <v>373</v>
      </c>
      <c r="E34" s="143">
        <f>E19</f>
        <v>0</v>
      </c>
      <c r="F34" s="142" t="s">
        <v>374</v>
      </c>
      <c r="G34" s="144">
        <f>E34*1000</f>
        <v>0</v>
      </c>
    </row>
    <row r="35" spans="1:15" ht="35.1" customHeight="1" x14ac:dyDescent="0.2">
      <c r="A35" s="6"/>
      <c r="B35" s="225" t="s">
        <v>375</v>
      </c>
      <c r="C35" s="221">
        <v>1</v>
      </c>
      <c r="D35" s="78">
        <v>2</v>
      </c>
      <c r="E35" s="78">
        <v>3</v>
      </c>
      <c r="F35" s="78">
        <v>4</v>
      </c>
      <c r="G35" s="79">
        <v>5</v>
      </c>
    </row>
    <row r="36" spans="1:15" ht="35.1" customHeight="1" x14ac:dyDescent="0.2">
      <c r="A36" s="6"/>
      <c r="B36" s="226" t="s">
        <v>376</v>
      </c>
      <c r="C36" s="680"/>
      <c r="D36" s="681"/>
      <c r="E36" s="681"/>
      <c r="F36" s="681"/>
      <c r="G36" s="682"/>
    </row>
    <row r="37" spans="1:15" ht="35.1" customHeight="1" x14ac:dyDescent="0.2">
      <c r="A37" s="6"/>
      <c r="B37" s="226" t="s">
        <v>377</v>
      </c>
      <c r="C37" s="222">
        <f>$C$36-C36</f>
        <v>0</v>
      </c>
      <c r="D37" s="22">
        <f t="shared" ref="D37:G37" si="0">$C$36-D36</f>
        <v>0</v>
      </c>
      <c r="E37" s="22">
        <f t="shared" si="0"/>
        <v>0</v>
      </c>
      <c r="F37" s="22">
        <f>$C$36-F36</f>
        <v>0</v>
      </c>
      <c r="G37" s="80">
        <f t="shared" si="0"/>
        <v>0</v>
      </c>
    </row>
    <row r="38" spans="1:15" ht="35.1" customHeight="1" thickBot="1" x14ac:dyDescent="0.25">
      <c r="A38" s="6"/>
      <c r="B38" s="227" t="s">
        <v>378</v>
      </c>
      <c r="C38" s="223">
        <f>ABS(C37)</f>
        <v>0</v>
      </c>
      <c r="D38" s="81">
        <f>ABS(D37)</f>
        <v>0</v>
      </c>
      <c r="E38" s="81">
        <f t="shared" ref="E38:G38" si="1">ABS(E37)</f>
        <v>0</v>
      </c>
      <c r="F38" s="81">
        <f t="shared" si="1"/>
        <v>0</v>
      </c>
      <c r="G38" s="82">
        <f t="shared" si="1"/>
        <v>0</v>
      </c>
    </row>
    <row r="39" spans="1:15" ht="35.1" customHeight="1" thickBot="1" x14ac:dyDescent="0.3">
      <c r="A39" s="6"/>
      <c r="B39" s="140" t="s">
        <v>374</v>
      </c>
      <c r="C39" s="224">
        <f>MAX(C38:G38)*1000</f>
        <v>0</v>
      </c>
      <c r="D39" s="23"/>
      <c r="E39" s="23"/>
      <c r="F39" s="23"/>
      <c r="G39" s="23"/>
    </row>
    <row r="40" spans="1:15" ht="9.9499999999999993" customHeight="1" thickBot="1" x14ac:dyDescent="0.25">
      <c r="A40" s="6"/>
    </row>
    <row r="41" spans="1:15" ht="35.1" customHeight="1" thickBot="1" x14ac:dyDescent="0.25">
      <c r="B41" s="1072" t="s">
        <v>379</v>
      </c>
      <c r="C41" s="1073"/>
      <c r="D41" s="1073"/>
      <c r="E41" s="1073"/>
      <c r="F41" s="1073"/>
      <c r="G41" s="1073"/>
      <c r="H41" s="1073"/>
      <c r="I41" s="1073"/>
      <c r="J41" s="1073"/>
      <c r="K41" s="1074"/>
      <c r="M41" s="1058" t="s">
        <v>380</v>
      </c>
      <c r="N41" s="1059"/>
      <c r="O41" s="1060"/>
    </row>
    <row r="42" spans="1:15" ht="35.1" customHeight="1" thickBot="1" x14ac:dyDescent="0.25">
      <c r="B42" s="1078" t="s">
        <v>381</v>
      </c>
      <c r="C42" s="1079"/>
      <c r="D42" s="1079"/>
      <c r="E42" s="1079"/>
      <c r="F42" s="1079"/>
      <c r="G42" s="1079"/>
      <c r="H42" s="1079"/>
      <c r="I42" s="1079"/>
      <c r="J42" s="1080"/>
      <c r="K42" s="110" t="s">
        <v>382</v>
      </c>
      <c r="M42" s="1168"/>
      <c r="N42" s="1169"/>
      <c r="O42" s="1170"/>
    </row>
    <row r="43" spans="1:15" ht="35.1" customHeight="1" thickBot="1" x14ac:dyDescent="0.25">
      <c r="A43" s="155" t="s">
        <v>383</v>
      </c>
      <c r="B43" s="137">
        <v>1</v>
      </c>
      <c r="C43" s="138">
        <v>2</v>
      </c>
      <c r="D43" s="138">
        <v>3</v>
      </c>
      <c r="E43" s="138">
        <v>4</v>
      </c>
      <c r="F43" s="138">
        <v>5</v>
      </c>
      <c r="G43" s="138">
        <v>6</v>
      </c>
      <c r="H43" s="138">
        <v>7</v>
      </c>
      <c r="I43" s="138">
        <v>8</v>
      </c>
      <c r="J43" s="138">
        <v>9</v>
      </c>
      <c r="K43" s="139">
        <v>10</v>
      </c>
      <c r="M43" s="1171"/>
      <c r="N43" s="1172"/>
      <c r="O43" s="1173"/>
    </row>
    <row r="44" spans="1:15" ht="35.1" customHeight="1" x14ac:dyDescent="0.2">
      <c r="A44" s="156">
        <f>D22</f>
        <v>0</v>
      </c>
      <c r="B44" s="729"/>
      <c r="C44" s="730"/>
      <c r="D44" s="730"/>
      <c r="E44" s="730"/>
      <c r="F44" s="730"/>
      <c r="G44" s="730"/>
      <c r="H44" s="730"/>
      <c r="I44" s="730"/>
      <c r="J44" s="730"/>
      <c r="K44" s="731"/>
      <c r="M44" s="1171"/>
      <c r="N44" s="1172"/>
      <c r="O44" s="1173"/>
    </row>
    <row r="45" spans="1:15" ht="35.1" customHeight="1" x14ac:dyDescent="0.2">
      <c r="A45" s="156">
        <f>E22</f>
        <v>0</v>
      </c>
      <c r="B45" s="732"/>
      <c r="C45" s="681"/>
      <c r="D45" s="681"/>
      <c r="E45" s="681"/>
      <c r="F45" s="681"/>
      <c r="G45" s="681"/>
      <c r="H45" s="681"/>
      <c r="I45" s="681"/>
      <c r="J45" s="681"/>
      <c r="K45" s="682"/>
      <c r="M45" s="1171"/>
      <c r="N45" s="1172"/>
      <c r="O45" s="1173"/>
    </row>
    <row r="46" spans="1:15" ht="35.1" customHeight="1" thickBot="1" x14ac:dyDescent="0.25">
      <c r="A46" s="157">
        <f>F22</f>
        <v>0</v>
      </c>
      <c r="B46" s="733"/>
      <c r="C46" s="734"/>
      <c r="D46" s="734"/>
      <c r="E46" s="734"/>
      <c r="F46" s="735"/>
      <c r="G46" s="735"/>
      <c r="H46" s="735"/>
      <c r="I46" s="735"/>
      <c r="J46" s="735"/>
      <c r="K46" s="736"/>
      <c r="M46" s="1171"/>
      <c r="N46" s="1172"/>
      <c r="O46" s="1173"/>
    </row>
    <row r="47" spans="1:15" ht="35.1" customHeight="1" thickBot="1" x14ac:dyDescent="0.25">
      <c r="B47" s="155" t="s">
        <v>383</v>
      </c>
      <c r="C47" s="166" t="s">
        <v>384</v>
      </c>
      <c r="D47" s="96" t="s">
        <v>385</v>
      </c>
      <c r="E47" s="167" t="s">
        <v>386</v>
      </c>
      <c r="F47" s="697" t="s">
        <v>387</v>
      </c>
      <c r="H47" s="1"/>
      <c r="J47" s="1"/>
      <c r="K47" s="24"/>
      <c r="M47" s="1171"/>
      <c r="N47" s="1172"/>
      <c r="O47" s="1173"/>
    </row>
    <row r="48" spans="1:15" ht="35.1" customHeight="1" thickBot="1" x14ac:dyDescent="0.25">
      <c r="B48" s="161">
        <f>A44</f>
        <v>0</v>
      </c>
      <c r="C48" s="163" t="e">
        <f>AVERAGE(B44:K44)</f>
        <v>#DIV/0!</v>
      </c>
      <c r="D48" s="164" t="e">
        <f>_xlfn.STDEV.S(B44:K44)</f>
        <v>#DIV/0!</v>
      </c>
      <c r="E48" s="165" t="e">
        <f>D48*1000</f>
        <v>#DIV/0!</v>
      </c>
      <c r="F48" s="213" t="e">
        <f>MAX(E48:E50)</f>
        <v>#DIV/0!</v>
      </c>
      <c r="H48" s="1"/>
      <c r="I48" s="1"/>
      <c r="J48" s="1"/>
      <c r="K48" s="1"/>
      <c r="M48" s="1171"/>
      <c r="N48" s="1172"/>
      <c r="O48" s="1173"/>
    </row>
    <row r="49" spans="1:15" ht="35.1" customHeight="1" thickBot="1" x14ac:dyDescent="0.25">
      <c r="B49" s="161">
        <f>A45</f>
        <v>0</v>
      </c>
      <c r="C49" s="159" t="e">
        <f t="shared" ref="C49:C50" si="2">AVERAGE(B45:K45)</f>
        <v>#DIV/0!</v>
      </c>
      <c r="D49" s="111" t="e">
        <f t="shared" ref="D49:D50" si="3">_xlfn.STDEV.S(B45:K45)</f>
        <v>#DIV/0!</v>
      </c>
      <c r="E49" s="158" t="e">
        <f>D49*1000</f>
        <v>#DIV/0!</v>
      </c>
      <c r="F49" s="1"/>
      <c r="H49" s="1"/>
      <c r="I49" s="1"/>
      <c r="J49" s="1"/>
      <c r="K49" s="1"/>
      <c r="M49" s="1174"/>
      <c r="N49" s="1175"/>
      <c r="O49" s="1176"/>
    </row>
    <row r="50" spans="1:15" ht="35.1" customHeight="1" thickBot="1" x14ac:dyDescent="0.25">
      <c r="A50" s="6"/>
      <c r="B50" s="162">
        <f>A46</f>
        <v>0</v>
      </c>
      <c r="C50" s="160" t="e">
        <f t="shared" si="2"/>
        <v>#DIV/0!</v>
      </c>
      <c r="D50" s="76" t="e">
        <f t="shared" si="3"/>
        <v>#DIV/0!</v>
      </c>
      <c r="E50" s="77" t="e">
        <f t="shared" ref="E50" si="4">D50*1000</f>
        <v>#DIV/0!</v>
      </c>
      <c r="F50" s="1"/>
      <c r="H50" s="1"/>
      <c r="I50" s="1"/>
      <c r="J50" s="1"/>
      <c r="K50" s="1"/>
    </row>
    <row r="51" spans="1:15" ht="29.25" customHeight="1" thickBot="1" x14ac:dyDescent="0.25">
      <c r="A51" s="6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5" ht="35.1" customHeight="1" thickBot="1" x14ac:dyDescent="0.25">
      <c r="A52" s="6"/>
      <c r="B52" s="1072" t="s">
        <v>388</v>
      </c>
      <c r="C52" s="1073"/>
      <c r="D52" s="1073"/>
      <c r="E52" s="1073"/>
      <c r="F52" s="1073"/>
      <c r="G52" s="1073"/>
      <c r="H52" s="1073"/>
      <c r="I52" s="1073"/>
      <c r="J52" s="1073"/>
      <c r="K52" s="1073"/>
      <c r="L52" s="1074"/>
      <c r="N52" s="1166"/>
      <c r="O52" s="1167"/>
    </row>
    <row r="53" spans="1:15" ht="35.1" customHeight="1" thickBot="1" x14ac:dyDescent="0.25">
      <c r="B53" s="1072" t="s">
        <v>389</v>
      </c>
      <c r="C53" s="1073"/>
      <c r="D53" s="1073"/>
      <c r="E53" s="1074"/>
      <c r="F53" s="1"/>
      <c r="G53" s="1072" t="s">
        <v>390</v>
      </c>
      <c r="H53" s="1073"/>
      <c r="I53" s="1073"/>
      <c r="J53" s="1073"/>
      <c r="K53" s="1073"/>
      <c r="L53" s="1074"/>
    </row>
    <row r="54" spans="1:15" ht="46.5" customHeight="1" thickBot="1" x14ac:dyDescent="0.25">
      <c r="A54" s="6"/>
      <c r="B54" s="148" t="s">
        <v>391</v>
      </c>
      <c r="C54" s="99" t="s">
        <v>392</v>
      </c>
      <c r="D54" s="97" t="s">
        <v>393</v>
      </c>
      <c r="E54" s="98" t="s">
        <v>393</v>
      </c>
      <c r="F54" s="1"/>
      <c r="G54" s="168" t="s">
        <v>392</v>
      </c>
      <c r="H54" s="169" t="s">
        <v>394</v>
      </c>
      <c r="I54" s="169"/>
      <c r="J54" s="169"/>
      <c r="K54" s="260" t="s">
        <v>393</v>
      </c>
      <c r="L54" s="259" t="s">
        <v>393</v>
      </c>
      <c r="N54" s="1058" t="s">
        <v>395</v>
      </c>
      <c r="O54" s="1060"/>
    </row>
    <row r="55" spans="1:15" ht="35.1" customHeight="1" thickBot="1" x14ac:dyDescent="0.25">
      <c r="A55" s="6"/>
      <c r="B55" s="131" t="e">
        <f>H21</f>
        <v>#N/A</v>
      </c>
      <c r="C55" s="729"/>
      <c r="D55" s="132" t="e">
        <f>C55-B55</f>
        <v>#N/A</v>
      </c>
      <c r="E55" s="133" t="e">
        <f>D55*1000</f>
        <v>#N/A</v>
      </c>
      <c r="F55" s="1"/>
      <c r="G55" s="729"/>
      <c r="H55" s="730"/>
      <c r="I55" s="103" t="e">
        <f>AVERAGE(G55:H55)</f>
        <v>#DIV/0!</v>
      </c>
      <c r="J55" s="134" t="e">
        <f>I55*1000</f>
        <v>#DIV/0!</v>
      </c>
      <c r="K55" s="252" t="e">
        <f>I55-B55</f>
        <v>#DIV/0!</v>
      </c>
      <c r="L55" s="255" t="e">
        <f>K55*1000</f>
        <v>#DIV/0!</v>
      </c>
      <c r="N55" s="1177" t="e">
        <f>VLOOKUP($N$52,'DATOS # '!$B$190:$C$193,2,FALSE)</f>
        <v>#N/A</v>
      </c>
      <c r="O55" s="1178"/>
    </row>
    <row r="56" spans="1:15" ht="35.1" customHeight="1" x14ac:dyDescent="0.2">
      <c r="A56" s="6"/>
      <c r="B56" s="100" t="e">
        <f>H22</f>
        <v>#N/A</v>
      </c>
      <c r="C56" s="732"/>
      <c r="D56" s="25" t="e">
        <f t="shared" ref="D56:D59" si="5">C56-B56</f>
        <v>#N/A</v>
      </c>
      <c r="E56" s="74" t="e">
        <f t="shared" ref="E56:E59" si="6">D56*1000</f>
        <v>#N/A</v>
      </c>
      <c r="F56" s="1"/>
      <c r="G56" s="732"/>
      <c r="H56" s="681"/>
      <c r="I56" s="127" t="e">
        <f>AVERAGE(G56:H56)</f>
        <v>#DIV/0!</v>
      </c>
      <c r="J56" s="130" t="e">
        <f>I56*1000</f>
        <v>#DIV/0!</v>
      </c>
      <c r="K56" s="253" t="e">
        <f>I56-B56</f>
        <v>#DIV/0!</v>
      </c>
      <c r="L56" s="256" t="e">
        <f t="shared" ref="L56:L59" si="7">K56*1000</f>
        <v>#DIV/0!</v>
      </c>
    </row>
    <row r="57" spans="1:15" ht="35.1" customHeight="1" x14ac:dyDescent="0.2">
      <c r="A57" s="6"/>
      <c r="B57" s="100" t="e">
        <f>H23</f>
        <v>#N/A</v>
      </c>
      <c r="C57" s="732"/>
      <c r="D57" s="25" t="e">
        <f t="shared" si="5"/>
        <v>#N/A</v>
      </c>
      <c r="E57" s="74" t="e">
        <f t="shared" si="6"/>
        <v>#N/A</v>
      </c>
      <c r="F57" s="1"/>
      <c r="G57" s="732"/>
      <c r="H57" s="681"/>
      <c r="I57" s="127" t="e">
        <f>AVERAGE(G57:H57)</f>
        <v>#DIV/0!</v>
      </c>
      <c r="J57" s="130" t="e">
        <f t="shared" ref="J57:J59" si="8">I57*1000</f>
        <v>#DIV/0!</v>
      </c>
      <c r="K57" s="253" t="e">
        <f>I57-B57</f>
        <v>#DIV/0!</v>
      </c>
      <c r="L57" s="257" t="e">
        <f t="shared" si="7"/>
        <v>#DIV/0!</v>
      </c>
    </row>
    <row r="58" spans="1:15" ht="35.1" customHeight="1" x14ac:dyDescent="0.2">
      <c r="A58" s="6"/>
      <c r="B58" s="100" t="e">
        <f>H24</f>
        <v>#N/A</v>
      </c>
      <c r="C58" s="732"/>
      <c r="D58" s="25" t="e">
        <f t="shared" si="5"/>
        <v>#N/A</v>
      </c>
      <c r="E58" s="74" t="e">
        <f t="shared" si="6"/>
        <v>#N/A</v>
      </c>
      <c r="F58" s="1"/>
      <c r="G58" s="732"/>
      <c r="H58" s="681"/>
      <c r="I58" s="127" t="e">
        <f>AVERAGE(G58:H58)</f>
        <v>#DIV/0!</v>
      </c>
      <c r="J58" s="130" t="e">
        <f t="shared" si="8"/>
        <v>#DIV/0!</v>
      </c>
      <c r="K58" s="253" t="e">
        <f>I58-B58</f>
        <v>#DIV/0!</v>
      </c>
      <c r="L58" s="257" t="e">
        <f t="shared" si="7"/>
        <v>#DIV/0!</v>
      </c>
    </row>
    <row r="59" spans="1:15" ht="35.1" customHeight="1" thickBot="1" x14ac:dyDescent="0.25">
      <c r="A59" s="6"/>
      <c r="B59" s="101" t="e">
        <f>H25</f>
        <v>#N/A</v>
      </c>
      <c r="C59" s="737"/>
      <c r="D59" s="73" t="e">
        <f t="shared" si="5"/>
        <v>#N/A</v>
      </c>
      <c r="E59" s="75" t="e">
        <f t="shared" si="6"/>
        <v>#N/A</v>
      </c>
      <c r="F59" s="1"/>
      <c r="G59" s="737"/>
      <c r="H59" s="735"/>
      <c r="I59" s="135" t="e">
        <f t="shared" ref="I59" si="9">AVERAGE(G59:H59)</f>
        <v>#DIV/0!</v>
      </c>
      <c r="J59" s="136" t="e">
        <f t="shared" si="8"/>
        <v>#DIV/0!</v>
      </c>
      <c r="K59" s="254" t="e">
        <f>I59-B59</f>
        <v>#DIV/0!</v>
      </c>
      <c r="L59" s="258" t="e">
        <f t="shared" si="7"/>
        <v>#DIV/0!</v>
      </c>
    </row>
    <row r="60" spans="1:15" ht="9.9499999999999993" customHeight="1" thickBot="1" x14ac:dyDescent="0.25">
      <c r="A60" s="6"/>
      <c r="L60" s="6"/>
    </row>
    <row r="61" spans="1:15" ht="35.1" customHeight="1" thickBot="1" x14ac:dyDescent="0.25">
      <c r="A61" s="26"/>
      <c r="B61" s="1075" t="s">
        <v>396</v>
      </c>
      <c r="C61" s="1076"/>
      <c r="D61" s="1076"/>
      <c r="E61" s="1076"/>
      <c r="F61" s="1076"/>
      <c r="G61" s="1076"/>
      <c r="H61" s="1076"/>
      <c r="I61" s="1077"/>
      <c r="K61" s="1"/>
    </row>
    <row r="62" spans="1:15" ht="35.1" customHeight="1" thickBot="1" x14ac:dyDescent="0.25">
      <c r="A62" s="26"/>
      <c r="B62" s="116" t="s">
        <v>397</v>
      </c>
      <c r="C62" s="543"/>
      <c r="D62" s="41" t="s">
        <v>364</v>
      </c>
      <c r="E62" s="57"/>
      <c r="F62" s="41" t="s">
        <v>365</v>
      </c>
      <c r="G62" s="58"/>
      <c r="H62" s="42" t="s">
        <v>366</v>
      </c>
      <c r="I62" s="59"/>
      <c r="K62" s="1"/>
    </row>
    <row r="63" spans="1:15" ht="35.1" customHeight="1" thickBo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1"/>
    </row>
    <row r="64" spans="1:15" ht="54" customHeight="1" thickBot="1" x14ac:dyDescent="0.25">
      <c r="A64" s="40"/>
      <c r="B64" s="1027" t="s">
        <v>398</v>
      </c>
      <c r="C64" s="1029"/>
      <c r="D64" s="41" t="s">
        <v>364</v>
      </c>
      <c r="E64" s="44" t="e">
        <f>E32+(VLOOKUP(K28,'DATOS # '!$H$196:$U$201,9,FALSE))*E32+(VLOOKUP(K28,'DATOS # '!$H$196:$U$201,10,FALSE))</f>
        <v>#N/A</v>
      </c>
      <c r="F64" s="41" t="s">
        <v>365</v>
      </c>
      <c r="G64" s="44" t="e">
        <f>G32+(VLOOKUP(K28,'DATOS # '!$H$196:$U$201,11,FALSE))*G32+(VLOOKUP(K28,'DATOS # '!$H$196:$U$201,12,FALSE))</f>
        <v>#N/A</v>
      </c>
      <c r="H64" s="42" t="s">
        <v>366</v>
      </c>
      <c r="I64" s="44" t="e">
        <f>I32+(VLOOKUP(K28,'DATOS # '!$H$196:$U$201,13,FALSE))*I32+(VLOOKUP(K28,'DATOS # '!$H$196:$U$201,14,FALSE))</f>
        <v>#N/A</v>
      </c>
      <c r="K64" s="1"/>
    </row>
    <row r="65" spans="1:14" ht="48.75" customHeight="1" thickBot="1" x14ac:dyDescent="0.25">
      <c r="A65" s="40"/>
      <c r="B65" s="1027" t="s">
        <v>399</v>
      </c>
      <c r="C65" s="1029"/>
      <c r="D65" s="41" t="s">
        <v>364</v>
      </c>
      <c r="E65" s="44" t="e">
        <f>E62+(VLOOKUP(K28,'DATOS # '!$H$196:$U$201,9,FALSE))*E62+(VLOOKUP(K28,'DATOS # '!$H$196:$U$201,10,FALSE))</f>
        <v>#N/A</v>
      </c>
      <c r="F65" s="41" t="s">
        <v>365</v>
      </c>
      <c r="G65" s="117" t="e">
        <f>G62+(VLOOKUP(K28,'DATOS # '!$H$196:$U$201,11,FALSE))*G62+(VLOOKUP(K28,'DATOS # '!$H$196:$U$201,12,FALSE))</f>
        <v>#N/A</v>
      </c>
      <c r="H65" s="42" t="s">
        <v>366</v>
      </c>
      <c r="I65" s="44" t="e">
        <f>I62+(VLOOKUP(K28,'DATOS # '!$H$196:$U$201,13,FALSE))*I62+(VLOOKUP(K28,'DATOS # '!$H$196:$U$201,14,FALSE))</f>
        <v>#N/A</v>
      </c>
      <c r="K65" s="1"/>
    </row>
    <row r="66" spans="1:14" ht="21.75" customHeight="1" thickBo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4" ht="35.1" customHeight="1" thickBot="1" x14ac:dyDescent="0.25">
      <c r="A67" s="1072" t="s">
        <v>400</v>
      </c>
      <c r="B67" s="1073"/>
      <c r="C67" s="1073"/>
      <c r="D67" s="1073"/>
      <c r="E67" s="1073"/>
      <c r="F67" s="1073"/>
      <c r="G67" s="1073"/>
      <c r="H67" s="1073"/>
      <c r="I67" s="1073"/>
      <c r="J67" s="1073"/>
      <c r="K67" s="1073"/>
      <c r="L67" s="1074"/>
    </row>
    <row r="68" spans="1:14" ht="9.9499999999999993" customHeight="1" thickBo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4" ht="35.1" customHeight="1" thickBot="1" x14ac:dyDescent="0.25">
      <c r="B69" s="1"/>
      <c r="C69" s="1"/>
      <c r="D69" s="1"/>
      <c r="E69" s="1"/>
      <c r="F69" s="1017" t="s">
        <v>401</v>
      </c>
      <c r="G69" s="1018"/>
      <c r="H69" s="1018"/>
      <c r="I69" s="1018"/>
      <c r="J69" s="1019"/>
      <c r="K69" s="1"/>
    </row>
    <row r="70" spans="1:14" ht="35.1" customHeight="1" thickBot="1" x14ac:dyDescent="0.25">
      <c r="B70" s="1"/>
      <c r="C70" s="1"/>
      <c r="D70" s="27"/>
      <c r="E70" s="1"/>
      <c r="F70" s="112" t="e">
        <f>G21</f>
        <v>#N/A</v>
      </c>
      <c r="G70" s="113" t="e">
        <f>G22</f>
        <v>#N/A</v>
      </c>
      <c r="H70" s="113" t="e">
        <f>G23</f>
        <v>#N/A</v>
      </c>
      <c r="I70" s="113" t="e">
        <f>G24</f>
        <v>#N/A</v>
      </c>
      <c r="J70" s="114" t="e">
        <f>G25</f>
        <v>#N/A</v>
      </c>
      <c r="K70" s="1"/>
    </row>
    <row r="71" spans="1:14" ht="9.9499999999999993" customHeight="1" thickBo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4" ht="70.5" customHeight="1" thickBot="1" x14ac:dyDescent="0.25">
      <c r="A72" s="1058" t="s">
        <v>402</v>
      </c>
      <c r="B72" s="1059"/>
      <c r="C72" s="1059"/>
      <c r="D72" s="1059"/>
      <c r="E72" s="1060"/>
      <c r="F72" s="1075" t="s">
        <v>403</v>
      </c>
      <c r="G72" s="1076"/>
      <c r="H72" s="1076"/>
      <c r="I72" s="1076"/>
      <c r="J72" s="1076"/>
      <c r="K72" s="332" t="s">
        <v>404</v>
      </c>
      <c r="L72" s="333" t="s">
        <v>405</v>
      </c>
      <c r="M72" s="334" t="s">
        <v>406</v>
      </c>
    </row>
    <row r="73" spans="1:14" ht="35.1" customHeight="1" thickBot="1" x14ac:dyDescent="0.25">
      <c r="A73" s="1056" t="s">
        <v>407</v>
      </c>
      <c r="B73" s="1057"/>
      <c r="C73" s="176"/>
      <c r="D73" s="177"/>
      <c r="E73" s="177"/>
      <c r="F73" s="316" t="e">
        <f>((F70*1000)*$C$39)/(2*$G$34*SQRT(3))</f>
        <v>#N/A</v>
      </c>
      <c r="G73" s="335" t="e">
        <f>((G70*1000)*$C$39)/(2*$G$34*SQRT(3))</f>
        <v>#N/A</v>
      </c>
      <c r="H73" s="335" t="e">
        <f>((H70*1000)*$C$39)/(2*$G$34*SQRT(3))</f>
        <v>#N/A</v>
      </c>
      <c r="I73" s="335" t="e">
        <f>((I70*1000)*$C$39)/(2*$G$34*SQRT(3))</f>
        <v>#N/A</v>
      </c>
      <c r="J73" s="717" t="e">
        <f>((J70*1000)*$C$39)/(2*$G$34*SQRT(3))</f>
        <v>#N/A</v>
      </c>
      <c r="K73" s="720" t="s">
        <v>408</v>
      </c>
      <c r="L73" s="236">
        <v>100</v>
      </c>
      <c r="M73" s="265" t="e">
        <f>IFERROR(J73/$J$85,"--")^2</f>
        <v>#VALUE!</v>
      </c>
      <c r="N73" s="516" t="e">
        <f>IF(J73=MAX($J$73,$J$74,$J$76,$J$77,$J$80,$J$81,$J$82),"",J73)</f>
        <v>#N/A</v>
      </c>
    </row>
    <row r="74" spans="1:14" ht="35.1" customHeight="1" thickBot="1" x14ac:dyDescent="0.25">
      <c r="A74" s="1027" t="s">
        <v>409</v>
      </c>
      <c r="B74" s="1029"/>
      <c r="C74" s="179"/>
      <c r="D74" s="178"/>
      <c r="E74" s="178"/>
      <c r="F74" s="72" t="e">
        <f>$F$48</f>
        <v>#DIV/0!</v>
      </c>
      <c r="G74" s="28" t="e">
        <f>$F$48</f>
        <v>#DIV/0!</v>
      </c>
      <c r="H74" s="28" t="e">
        <f>$F$48</f>
        <v>#DIV/0!</v>
      </c>
      <c r="I74" s="28" t="e">
        <f>$F$48</f>
        <v>#DIV/0!</v>
      </c>
      <c r="J74" s="718" t="e">
        <f>$F$48</f>
        <v>#DIV/0!</v>
      </c>
      <c r="K74" s="721" t="s">
        <v>410</v>
      </c>
      <c r="L74" s="235">
        <f>K43-1</f>
        <v>9</v>
      </c>
      <c r="M74" s="266" t="e">
        <f>IFERROR(J74/$J$85,"--")^2</f>
        <v>#VALUE!</v>
      </c>
      <c r="N74" s="517" t="e">
        <f>IF(J74=MAX($J$73,$J$74,$J$76,$J$77,$J$80,$J$81,$J$82),"",J74)</f>
        <v>#DIV/0!</v>
      </c>
    </row>
    <row r="75" spans="1:14" ht="35.1" customHeight="1" thickBot="1" x14ac:dyDescent="0.25">
      <c r="A75" s="1027" t="s">
        <v>537</v>
      </c>
      <c r="B75" s="1029"/>
      <c r="C75" s="992"/>
      <c r="D75" s="993"/>
      <c r="E75" s="993"/>
      <c r="F75" s="809">
        <f>(0/SQRT(9))</f>
        <v>0</v>
      </c>
      <c r="G75" s="810">
        <f>(0/SQRT(9))</f>
        <v>0</v>
      </c>
      <c r="H75" s="810">
        <f>(0/SQRT(9))</f>
        <v>0</v>
      </c>
      <c r="I75" s="810">
        <f>(0/SQRT(9))</f>
        <v>0</v>
      </c>
      <c r="J75" s="811">
        <f>(0.0167)/SQRT(9)</f>
        <v>5.5666666666666668E-3</v>
      </c>
      <c r="K75" s="812" t="s">
        <v>410</v>
      </c>
      <c r="L75" s="813">
        <v>6</v>
      </c>
      <c r="M75" s="814" t="e">
        <f>IFERROR(J75/$J$85,"--")^2</f>
        <v>#VALUE!</v>
      </c>
      <c r="N75" s="517" t="e">
        <f>IF(J75=MAX($J$73,$J$74,$J$76,$J$77,$J$80,$J$81,$J$82),"",J75)</f>
        <v>#N/A</v>
      </c>
    </row>
    <row r="76" spans="1:14" ht="35.1" customHeight="1" thickBot="1" x14ac:dyDescent="0.25">
      <c r="A76" s="1237" t="s">
        <v>411</v>
      </c>
      <c r="B76" s="1238"/>
      <c r="C76" s="1007"/>
      <c r="D76" s="1008"/>
      <c r="E76" s="1008"/>
      <c r="F76" s="72" t="e">
        <f t="shared" ref="F76:J77" si="10">($D$14*1000)/SQRT(12)</f>
        <v>#N/A</v>
      </c>
      <c r="G76" s="28" t="e">
        <f t="shared" si="10"/>
        <v>#N/A</v>
      </c>
      <c r="H76" s="28" t="e">
        <f t="shared" si="10"/>
        <v>#N/A</v>
      </c>
      <c r="I76" s="28" t="e">
        <f t="shared" si="10"/>
        <v>#N/A</v>
      </c>
      <c r="J76" s="718" t="e">
        <f t="shared" si="10"/>
        <v>#N/A</v>
      </c>
      <c r="K76" s="721" t="s">
        <v>408</v>
      </c>
      <c r="L76" s="235">
        <v>100</v>
      </c>
      <c r="M76" s="266" t="e">
        <f>IFERROR(J76/$J$85,"--")^2</f>
        <v>#VALUE!</v>
      </c>
      <c r="N76" s="517" t="e">
        <f>IF(J76=MAX($J$73,$J$74,$J$76,$J$77,$J$80,$J$81,$J$82),"",J76)</f>
        <v>#N/A</v>
      </c>
    </row>
    <row r="77" spans="1:14" ht="35.1" customHeight="1" thickBot="1" x14ac:dyDescent="0.25">
      <c r="A77" s="1005" t="s">
        <v>412</v>
      </c>
      <c r="B77" s="1006"/>
      <c r="C77" s="1007"/>
      <c r="D77" s="1008"/>
      <c r="E77" s="1008"/>
      <c r="F77" s="237" t="e">
        <f t="shared" si="10"/>
        <v>#N/A</v>
      </c>
      <c r="G77" s="238" t="e">
        <f t="shared" si="10"/>
        <v>#N/A</v>
      </c>
      <c r="H77" s="238" t="e">
        <f t="shared" si="10"/>
        <v>#N/A</v>
      </c>
      <c r="I77" s="238" t="e">
        <f t="shared" si="10"/>
        <v>#N/A</v>
      </c>
      <c r="J77" s="719" t="e">
        <f t="shared" si="10"/>
        <v>#N/A</v>
      </c>
      <c r="K77" s="722" t="s">
        <v>408</v>
      </c>
      <c r="L77" s="239">
        <v>100</v>
      </c>
      <c r="M77" s="267" t="e">
        <f>IFERROR(J77/$J$85,"--")^2</f>
        <v>#VALUE!</v>
      </c>
      <c r="N77" s="517" t="e">
        <f>IF(J77=MAX($J$73,$J$74,$J$76,$J$77,$J$80,$J$81,$J$82),"",J77)</f>
        <v>#N/A</v>
      </c>
    </row>
    <row r="78" spans="1:14" ht="34.5" customHeight="1" thickBot="1" x14ac:dyDescent="0.25">
      <c r="B78" s="1"/>
      <c r="C78" s="1009"/>
      <c r="D78" s="1010"/>
      <c r="E78" s="1011"/>
      <c r="F78" s="738" t="e">
        <f>SQRT((F73)^2+(F74)^2+(F76)^2+(F77)^2)</f>
        <v>#N/A</v>
      </c>
      <c r="G78" s="739" t="e">
        <f>SQRT((G73)^2+(G74)^2+(G76)^2+(G77)^2)</f>
        <v>#N/A</v>
      </c>
      <c r="H78" s="739" t="e">
        <f>SQRT((H73)^2+(H74)^2+(H76)^2+(H77)^2)</f>
        <v>#N/A</v>
      </c>
      <c r="I78" s="739" t="e">
        <f>SQRT((I73)^2+(I74)^2+(I76)^2+(I77)^2)</f>
        <v>#N/A</v>
      </c>
      <c r="J78" s="739" t="e">
        <f>SQRT((J73)^2+(J74)^2+(J76)^2+(J77)^2)</f>
        <v>#N/A</v>
      </c>
      <c r="K78" s="511" t="s">
        <v>410</v>
      </c>
      <c r="N78" s="517"/>
    </row>
    <row r="79" spans="1:14" ht="35.1" customHeight="1" thickBot="1" x14ac:dyDescent="0.25">
      <c r="B79" s="1"/>
      <c r="C79" s="1"/>
      <c r="D79" s="1"/>
      <c r="F79" s="994" t="s">
        <v>413</v>
      </c>
      <c r="G79" s="995"/>
      <c r="H79" s="995"/>
      <c r="I79" s="995"/>
      <c r="J79" s="996"/>
      <c r="K79" s="1"/>
      <c r="N79" s="517"/>
    </row>
    <row r="80" spans="1:14" ht="35.1" customHeight="1" thickBot="1" x14ac:dyDescent="0.25">
      <c r="A80" s="1027" t="s">
        <v>414</v>
      </c>
      <c r="B80" s="1029"/>
      <c r="C80" s="1241"/>
      <c r="D80" s="1242"/>
      <c r="E80" s="1243"/>
      <c r="F80" s="69" t="e">
        <f>I21/L32</f>
        <v>#N/A</v>
      </c>
      <c r="G80" s="70" t="e">
        <f>I22/L32</f>
        <v>#N/A</v>
      </c>
      <c r="H80" s="70" t="e">
        <f>I23/L32</f>
        <v>#N/A</v>
      </c>
      <c r="I80" s="70" t="e">
        <f>I24/L32</f>
        <v>#N/A</v>
      </c>
      <c r="J80" s="70" t="e">
        <f>I25/L32</f>
        <v>#N/A</v>
      </c>
      <c r="K80" s="173" t="s">
        <v>410</v>
      </c>
      <c r="L80" s="236">
        <v>100</v>
      </c>
      <c r="M80" s="265" t="e">
        <f>IFERROR(J80/$J$85,"--")^2</f>
        <v>#VALUE!</v>
      </c>
      <c r="N80" s="517" t="e">
        <f>IF(J80=MAX($J$73,$J$74,$J$76,$J$77,$J$80,$J$81,$J$82),"",J80)</f>
        <v>#N/A</v>
      </c>
    </row>
    <row r="81" spans="1:17" ht="35.1" customHeight="1" x14ac:dyDescent="0.2">
      <c r="A81" s="990" t="s">
        <v>415</v>
      </c>
      <c r="B81" s="991"/>
      <c r="C81" s="1222"/>
      <c r="D81" s="1223"/>
      <c r="E81" s="1224"/>
      <c r="F81" s="71" t="e">
        <f>(3*I21)/(4*SQRT(3))</f>
        <v>#N/A</v>
      </c>
      <c r="G81" s="29" t="e">
        <f>(3*I22)/(4*SQRT(3))</f>
        <v>#N/A</v>
      </c>
      <c r="H81" s="29" t="e">
        <f>(3*I23)/(4*SQRT(3))</f>
        <v>#N/A</v>
      </c>
      <c r="I81" s="29" t="e">
        <f>(3*I24)/(4*SQRT(3))</f>
        <v>#N/A</v>
      </c>
      <c r="J81" s="29" t="e">
        <f>(3*I25)/(4*SQRT(3))</f>
        <v>#N/A</v>
      </c>
      <c r="K81" s="496" t="s">
        <v>408</v>
      </c>
      <c r="L81" s="235">
        <v>100</v>
      </c>
      <c r="M81" s="266" t="e">
        <f>IFERROR(J81/$J$85,"--")^2</f>
        <v>#VALUE!</v>
      </c>
      <c r="N81" s="517" t="e">
        <f>IF(J81=MAX($J$73,$J$74,$J$76,$J$77,$J$80,$J$81,$J$82),"",J81)</f>
        <v>#N/A</v>
      </c>
    </row>
    <row r="82" spans="1:17" ht="35.1" customHeight="1" thickBot="1" x14ac:dyDescent="0.25">
      <c r="A82" s="1000" t="s">
        <v>416</v>
      </c>
      <c r="B82" s="1001"/>
      <c r="C82" s="1225"/>
      <c r="D82" s="1226"/>
      <c r="E82" s="1227"/>
      <c r="F82" s="268" t="e">
        <f>VLOOKUP($K$21,'DATOS # '!$C$28:$V$127,13,FALSE)</f>
        <v>#N/A</v>
      </c>
      <c r="G82" s="269" t="e">
        <f>VLOOKUP($K$22,'DATOS # '!$C$28:$V$127,13,FALSE)</f>
        <v>#N/A</v>
      </c>
      <c r="H82" s="269" t="e">
        <f>VLOOKUP($K$23,'DATOS # '!$C$28:$V$127,13,FALSE)</f>
        <v>#N/A</v>
      </c>
      <c r="I82" s="269" t="e">
        <f>VLOOKUP($K$24,'DATOS # '!$C$28:$V$127,13,FALSE)</f>
        <v>#N/A</v>
      </c>
      <c r="J82" s="269" t="e">
        <f>VLOOKUP($K$25,'DATOS # '!$C$28:$V$127,13,FALSE)</f>
        <v>#N/A</v>
      </c>
      <c r="K82" s="497" t="s">
        <v>408</v>
      </c>
      <c r="L82" s="239">
        <v>100</v>
      </c>
      <c r="M82" s="267" t="e">
        <f>IFERROR(J82/$J$85,"--")^2</f>
        <v>#VALUE!</v>
      </c>
      <c r="N82" s="517" t="e">
        <f>IF(J82=MAX($J$73,$J$74,$J$76,$J$77,$J$80,$J$81,$J$82),"",J82)</f>
        <v>#N/A</v>
      </c>
    </row>
    <row r="83" spans="1:17" ht="35.1" customHeight="1" thickBot="1" x14ac:dyDescent="0.25">
      <c r="C83" s="1002"/>
      <c r="D83" s="1003"/>
      <c r="E83" s="1004"/>
      <c r="F83" s="512" t="e">
        <f>SQRT(F80^2+F81^2+F82^2)</f>
        <v>#N/A</v>
      </c>
      <c r="G83" s="513" t="e">
        <f t="shared" ref="G83:J83" si="11">SQRT(G80^2+G81^2+G82^2)</f>
        <v>#N/A</v>
      </c>
      <c r="H83" s="513" t="e">
        <f t="shared" si="11"/>
        <v>#N/A</v>
      </c>
      <c r="I83" s="513" t="e">
        <f t="shared" si="11"/>
        <v>#N/A</v>
      </c>
      <c r="J83" s="514" t="e">
        <f t="shared" si="11"/>
        <v>#N/A</v>
      </c>
      <c r="K83" s="248" t="s">
        <v>410</v>
      </c>
      <c r="L83" s="43"/>
      <c r="M83" s="515" t="e">
        <f>+SUM(M73:M77,M80:M82)</f>
        <v>#VALUE!</v>
      </c>
      <c r="N83" s="305"/>
    </row>
    <row r="84" spans="1:17" ht="35.1" customHeight="1" thickBot="1" x14ac:dyDescent="0.25">
      <c r="B84" s="1"/>
      <c r="C84" s="1"/>
      <c r="D84" s="1"/>
      <c r="F84" s="994" t="s">
        <v>417</v>
      </c>
      <c r="G84" s="995"/>
      <c r="H84" s="995"/>
      <c r="I84" s="995"/>
      <c r="J84" s="996"/>
      <c r="N84" s="305"/>
    </row>
    <row r="85" spans="1:17" ht="37.5" customHeight="1" thickBot="1" x14ac:dyDescent="0.25">
      <c r="A85" s="30"/>
      <c r="B85" s="30"/>
      <c r="C85" s="997"/>
      <c r="D85" s="998"/>
      <c r="E85" s="999"/>
      <c r="F85" s="249" t="e">
        <f>SQRT((F78)^2+(F83)^2)</f>
        <v>#N/A</v>
      </c>
      <c r="G85" s="250" t="e">
        <f>SQRT((G78)^2+(G83)^2)</f>
        <v>#N/A</v>
      </c>
      <c r="H85" s="250" t="e">
        <f>SQRT((H78)^2+(H83)^2)</f>
        <v>#N/A</v>
      </c>
      <c r="I85" s="250" t="e">
        <f>SQRT((I78)^2+(I83)^2)</f>
        <v>#N/A</v>
      </c>
      <c r="J85" s="251" t="e">
        <f>SQRT((J78)^2+(J83)^2)</f>
        <v>#N/A</v>
      </c>
      <c r="K85" s="1"/>
    </row>
    <row r="86" spans="1:17" ht="35.1" customHeight="1" thickBot="1" x14ac:dyDescent="0.25">
      <c r="B86" s="1"/>
      <c r="C86" s="1"/>
      <c r="D86" s="1"/>
      <c r="E86" s="1"/>
      <c r="F86" s="1017" t="s">
        <v>418</v>
      </c>
      <c r="G86" s="1018"/>
      <c r="H86" s="1018"/>
      <c r="I86" s="1018"/>
      <c r="J86" s="1019"/>
    </row>
    <row r="87" spans="1:17" ht="50.1" customHeight="1" thickBot="1" x14ac:dyDescent="0.25">
      <c r="B87" s="1"/>
      <c r="C87" s="20"/>
      <c r="D87" s="20"/>
      <c r="F87" s="1078" t="s">
        <v>419</v>
      </c>
      <c r="G87" s="1079"/>
      <c r="H87" s="1079"/>
      <c r="I87" s="1079"/>
      <c r="J87" s="1080"/>
      <c r="K87" s="1239" t="s">
        <v>351</v>
      </c>
      <c r="L87" s="1092" t="s">
        <v>420</v>
      </c>
      <c r="M87" s="1092" t="s">
        <v>421</v>
      </c>
      <c r="N87" s="1092" t="s">
        <v>422</v>
      </c>
      <c r="O87" s="1092" t="s">
        <v>423</v>
      </c>
      <c r="P87" s="1022" t="s">
        <v>424</v>
      </c>
      <c r="Q87" s="330" t="e">
        <f>#REF!/#REF!</f>
        <v>#REF!</v>
      </c>
    </row>
    <row r="88" spans="1:17" ht="35.1" customHeight="1" thickBot="1" x14ac:dyDescent="0.25">
      <c r="A88" s="990" t="s">
        <v>425</v>
      </c>
      <c r="B88" s="1215"/>
      <c r="C88" s="1215"/>
      <c r="D88" s="1218"/>
      <c r="E88" s="1219"/>
      <c r="F88" s="61">
        <v>100</v>
      </c>
      <c r="G88" s="86">
        <v>100</v>
      </c>
      <c r="H88" s="86">
        <v>100</v>
      </c>
      <c r="I88" s="86">
        <v>100</v>
      </c>
      <c r="J88" s="62">
        <v>100</v>
      </c>
      <c r="K88" s="1240"/>
      <c r="L88" s="1093"/>
      <c r="M88" s="1093"/>
      <c r="N88" s="1093"/>
      <c r="O88" s="1093"/>
      <c r="P88" s="1023"/>
      <c r="Q88" s="362" t="s">
        <v>426</v>
      </c>
    </row>
    <row r="89" spans="1:17" ht="35.1" customHeight="1" x14ac:dyDescent="0.2">
      <c r="A89" s="992" t="s">
        <v>427</v>
      </c>
      <c r="B89" s="993"/>
      <c r="C89" s="993"/>
      <c r="D89" s="1220"/>
      <c r="E89" s="1221"/>
      <c r="F89" s="63">
        <f>$K$43-1</f>
        <v>9</v>
      </c>
      <c r="G89" s="31">
        <f t="shared" ref="G89:J89" si="12">$K$43-1</f>
        <v>9</v>
      </c>
      <c r="H89" s="31">
        <f t="shared" si="12"/>
        <v>9</v>
      </c>
      <c r="I89" s="31">
        <f t="shared" si="12"/>
        <v>9</v>
      </c>
      <c r="J89" s="64">
        <f t="shared" si="12"/>
        <v>9</v>
      </c>
      <c r="K89" s="319" t="e">
        <f>G21</f>
        <v>#N/A</v>
      </c>
      <c r="L89" s="270" t="e">
        <f>L55</f>
        <v>#DIV/0!</v>
      </c>
      <c r="M89" s="683" t="e">
        <f>K55</f>
        <v>#DIV/0!</v>
      </c>
      <c r="N89" s="271" t="e">
        <f>F85*N97</f>
        <v>#N/A</v>
      </c>
      <c r="O89" s="272" t="e">
        <f>N89/1000</f>
        <v>#N/A</v>
      </c>
      <c r="P89" s="232" t="e">
        <f>N89/(B55*1000)</f>
        <v>#N/A</v>
      </c>
      <c r="Q89" s="363" t="e">
        <f>#REF!</f>
        <v>#REF!</v>
      </c>
    </row>
    <row r="90" spans="1:17" ht="35.1" customHeight="1" x14ac:dyDescent="0.2">
      <c r="A90" s="992" t="s">
        <v>536</v>
      </c>
      <c r="B90" s="993"/>
      <c r="C90" s="1234"/>
      <c r="D90" s="1216"/>
      <c r="E90" s="1217"/>
      <c r="F90" s="63">
        <f>$L$75</f>
        <v>6</v>
      </c>
      <c r="G90" s="713">
        <f t="shared" ref="G90:J90" si="13">$L$75</f>
        <v>6</v>
      </c>
      <c r="H90" s="713">
        <f t="shared" si="13"/>
        <v>6</v>
      </c>
      <c r="I90" s="713">
        <f t="shared" si="13"/>
        <v>6</v>
      </c>
      <c r="J90" s="714">
        <f t="shared" si="13"/>
        <v>6</v>
      </c>
      <c r="K90" s="320" t="e">
        <f>G22</f>
        <v>#N/A</v>
      </c>
      <c r="L90" s="22" t="e">
        <f>L56</f>
        <v>#DIV/0!</v>
      </c>
      <c r="M90" s="275" t="e">
        <f>K56</f>
        <v>#DIV/0!</v>
      </c>
      <c r="N90" s="273" t="e">
        <f>G85*N97</f>
        <v>#N/A</v>
      </c>
      <c r="O90" s="274" t="e">
        <f>N90/1000</f>
        <v>#N/A</v>
      </c>
      <c r="P90" s="318" t="e">
        <f>N90/(B56*1000)</f>
        <v>#N/A</v>
      </c>
      <c r="Q90" s="364" t="e">
        <f>#REF!</f>
        <v>#REF!</v>
      </c>
    </row>
    <row r="91" spans="1:17" ht="50.1" customHeight="1" thickBot="1" x14ac:dyDescent="0.25">
      <c r="A91" s="1000" t="s">
        <v>428</v>
      </c>
      <c r="B91" s="1030"/>
      <c r="C91" s="1031"/>
      <c r="D91" s="1032"/>
      <c r="E91" s="1033"/>
      <c r="F91" s="63">
        <v>100</v>
      </c>
      <c r="G91" s="31">
        <v>100</v>
      </c>
      <c r="H91" s="31">
        <v>100</v>
      </c>
      <c r="I91" s="31">
        <v>100</v>
      </c>
      <c r="J91" s="64">
        <v>100</v>
      </c>
      <c r="K91" s="320" t="e">
        <f>G23</f>
        <v>#N/A</v>
      </c>
      <c r="L91" s="22" t="e">
        <f>L57</f>
        <v>#DIV/0!</v>
      </c>
      <c r="M91" s="275" t="e">
        <f>K57</f>
        <v>#DIV/0!</v>
      </c>
      <c r="N91" s="273" t="e">
        <f>H85*N97</f>
        <v>#N/A</v>
      </c>
      <c r="O91" s="274" t="e">
        <f>N91/1000</f>
        <v>#N/A</v>
      </c>
      <c r="P91" s="318" t="e">
        <f>N91/(B57*1000)</f>
        <v>#N/A</v>
      </c>
      <c r="Q91" s="364" t="e">
        <f>#REF!</f>
        <v>#REF!</v>
      </c>
    </row>
    <row r="92" spans="1:17" ht="35.25" customHeight="1" thickBot="1" x14ac:dyDescent="0.25">
      <c r="B92" s="1056"/>
      <c r="C92" s="1137"/>
      <c r="D92" s="1137"/>
      <c r="E92" s="1057"/>
      <c r="F92" s="723" t="e">
        <f>F78^4/(F73^4/$L$73+(F74^4/($L$74))+(F75^4/$L$75)+(F76^4/$L$76)+(F77^4/$L$77))</f>
        <v>#N/A</v>
      </c>
      <c r="G92" s="724" t="e">
        <f>G78^4/(G73^4/$L$73+(G74^4/($L$74))+(G75^4/$L$75)+(G76^4/$L$76)+(G77^4/$L$77))</f>
        <v>#N/A</v>
      </c>
      <c r="H92" s="724" t="e">
        <f>H78^4/(H73^4/$L$73+(H74^4/($L$74))+(H75^4/$L$75)+(H76^4/$L$76)+(H77^4/$L$77))</f>
        <v>#N/A</v>
      </c>
      <c r="I92" s="724" t="e">
        <f>I78^4/(I73^4/$L$73+(I74^4/($L$74))+(I75^4/$L$75)+(I76^4/$L$76)+(I77^4/$L$77))</f>
        <v>#N/A</v>
      </c>
      <c r="J92" s="725" t="e">
        <f>J78^4/(J73^4/$L$73+(J74^4/($L$74))+(J75^4/$L$75)+(J76^4/$L$76)+(J77^4/$L$77))</f>
        <v>#N/A</v>
      </c>
      <c r="K92" s="320" t="e">
        <f>G24</f>
        <v>#N/A</v>
      </c>
      <c r="L92" s="22" t="e">
        <f>L58</f>
        <v>#DIV/0!</v>
      </c>
      <c r="M92" s="275" t="e">
        <f>K58</f>
        <v>#DIV/0!</v>
      </c>
      <c r="N92" s="273" t="e">
        <f>I85*N97</f>
        <v>#N/A</v>
      </c>
      <c r="O92" s="274" t="e">
        <f>N92/1000</f>
        <v>#N/A</v>
      </c>
      <c r="P92" s="318" t="e">
        <f>N92/(B58*1000)</f>
        <v>#N/A</v>
      </c>
      <c r="Q92" s="364" t="e">
        <f>#REF!</f>
        <v>#REF!</v>
      </c>
    </row>
    <row r="93" spans="1:17" ht="35.25" customHeight="1" thickBot="1" x14ac:dyDescent="0.25">
      <c r="B93" s="1138"/>
      <c r="C93" s="1139"/>
      <c r="D93" s="1139"/>
      <c r="E93" s="1140"/>
      <c r="F93" s="1086" t="s">
        <v>429</v>
      </c>
      <c r="G93" s="1087"/>
      <c r="H93" s="1087"/>
      <c r="I93" s="1087"/>
      <c r="J93" s="1088"/>
      <c r="K93" s="522" t="e">
        <f>G25</f>
        <v>#N/A</v>
      </c>
      <c r="L93" s="81" t="e">
        <f>L59</f>
        <v>#DIV/0!</v>
      </c>
      <c r="M93" s="276" t="e">
        <f>K59</f>
        <v>#DIV/0!</v>
      </c>
      <c r="N93" s="277" t="e">
        <f>J85*N97</f>
        <v>#N/A</v>
      </c>
      <c r="O93" s="366" t="e">
        <f>N93/1000</f>
        <v>#N/A</v>
      </c>
      <c r="P93" s="231" t="e">
        <f>N93/(B59*1000)</f>
        <v>#N/A</v>
      </c>
      <c r="Q93" s="365" t="e">
        <f>#REF!</f>
        <v>#REF!</v>
      </c>
    </row>
    <row r="94" spans="1:17" ht="35.1" customHeight="1" thickBot="1" x14ac:dyDescent="0.25">
      <c r="A94" s="990" t="s">
        <v>430</v>
      </c>
      <c r="B94" s="1215"/>
      <c r="C94" s="991"/>
      <c r="D94" s="1235"/>
      <c r="E94" s="1236"/>
      <c r="F94" s="61">
        <v>100</v>
      </c>
      <c r="G94" s="86">
        <v>100</v>
      </c>
      <c r="H94" s="86">
        <v>100</v>
      </c>
      <c r="I94" s="86">
        <v>100</v>
      </c>
      <c r="J94" s="62">
        <v>100</v>
      </c>
    </row>
    <row r="95" spans="1:17" ht="35.1" customHeight="1" thickBot="1" x14ac:dyDescent="0.25">
      <c r="A95" s="992" t="s">
        <v>431</v>
      </c>
      <c r="B95" s="993"/>
      <c r="C95" s="1234"/>
      <c r="D95" s="1007"/>
      <c r="E95" s="1214"/>
      <c r="F95" s="63">
        <v>100</v>
      </c>
      <c r="G95" s="713">
        <v>100</v>
      </c>
      <c r="H95" s="713">
        <v>100</v>
      </c>
      <c r="I95" s="713">
        <v>100</v>
      </c>
      <c r="J95" s="714">
        <v>100</v>
      </c>
      <c r="P95" s="524">
        <v>0.3</v>
      </c>
      <c r="Q95" s="525">
        <v>1.65</v>
      </c>
    </row>
    <row r="96" spans="1:17" ht="35.25" customHeight="1" thickBot="1" x14ac:dyDescent="0.25">
      <c r="A96" s="1000" t="s">
        <v>432</v>
      </c>
      <c r="B96" s="1024"/>
      <c r="C96" s="1001"/>
      <c r="D96" s="1025"/>
      <c r="E96" s="1026"/>
      <c r="F96" s="65">
        <v>100</v>
      </c>
      <c r="G96" s="291">
        <v>100</v>
      </c>
      <c r="H96" s="291">
        <v>100</v>
      </c>
      <c r="I96" s="291">
        <v>100</v>
      </c>
      <c r="J96" s="66">
        <v>100</v>
      </c>
      <c r="L96" s="1153" t="s">
        <v>433</v>
      </c>
      <c r="M96" s="1154"/>
      <c r="N96" s="1154"/>
      <c r="O96" s="1154"/>
      <c r="P96" s="1155"/>
      <c r="Q96" s="526" t="s">
        <v>9</v>
      </c>
    </row>
    <row r="97" spans="1:17" ht="54.95" customHeight="1" thickBot="1" x14ac:dyDescent="0.25">
      <c r="A97" s="716"/>
      <c r="B97" s="1027"/>
      <c r="C97" s="1028"/>
      <c r="D97" s="1028"/>
      <c r="E97" s="1029"/>
      <c r="F97" s="519" t="e">
        <f>F83^4/((F80^4/$L$80)+(F81^4/$L$81)+(F82^4/$L$82))</f>
        <v>#N/A</v>
      </c>
      <c r="G97" s="317" t="e">
        <f>G83^4/((G80^4/$L$80)+(G81^4/$L$81)+(G82^4/$L$82))</f>
        <v>#N/A</v>
      </c>
      <c r="H97" s="317" t="e">
        <f>H83^4/((H80^4/$L$80)+(H81^4/$L$81)+(H82^4/$L$82))</f>
        <v>#N/A</v>
      </c>
      <c r="I97" s="317" t="e">
        <f>I83^4/((I80^4/$L$80)+(I81^4/$L$81)+(I82^4/$L$82))</f>
        <v>#N/A</v>
      </c>
      <c r="J97" s="520" t="e">
        <f>J83^4/((J80^4/$L$80)+(J81^4/$L$81)+(J82^4/$L$82))</f>
        <v>#N/A</v>
      </c>
      <c r="L97" s="153" t="s">
        <v>435</v>
      </c>
      <c r="M97" s="523" t="str">
        <f>IFERROR(SQRT(SUMSQ(N73,N74,N76,N77,N80,N81,N82))/MAX(J73,J74,J76,J77,J80,J81,J82),"--")</f>
        <v>--</v>
      </c>
      <c r="N97" s="153" t="str">
        <f>IF((M97)&lt;=(P95),"1,65","2,0")</f>
        <v>2,0</v>
      </c>
      <c r="O97" s="149" t="s">
        <v>436</v>
      </c>
      <c r="P97" s="150" t="s">
        <v>437</v>
      </c>
      <c r="Q97" s="306">
        <v>1.65</v>
      </c>
    </row>
    <row r="98" spans="1:17" ht="50.1" customHeight="1" thickBot="1" x14ac:dyDescent="0.25">
      <c r="B98" s="1"/>
      <c r="C98" s="1"/>
      <c r="D98" s="1"/>
      <c r="E98" s="1"/>
      <c r="F98" s="1017" t="s">
        <v>434</v>
      </c>
      <c r="G98" s="1018"/>
      <c r="H98" s="1018"/>
      <c r="I98" s="1018"/>
      <c r="J98" s="1019"/>
      <c r="K98" s="715" t="s">
        <v>438</v>
      </c>
      <c r="O98" s="151" t="s">
        <v>436</v>
      </c>
      <c r="P98" s="152" t="s">
        <v>439</v>
      </c>
      <c r="Q98" s="527">
        <v>2</v>
      </c>
    </row>
    <row r="99" spans="1:17" ht="50.1" customHeight="1" thickBot="1" x14ac:dyDescent="0.25">
      <c r="B99" s="30"/>
      <c r="C99" s="1002"/>
      <c r="D99" s="1003"/>
      <c r="E99" s="1004"/>
      <c r="F99" s="577" t="e">
        <f>F85^4/((F78^4/F92)+(F83^4/F97))</f>
        <v>#N/A</v>
      </c>
      <c r="G99" s="219" t="e">
        <f>G85^4/((G78^4/G92)+(G83^4/G97))</f>
        <v>#N/A</v>
      </c>
      <c r="H99" s="219" t="e">
        <f>H85^4/((H78^4/H92)+(H83^4/H97))</f>
        <v>#N/A</v>
      </c>
      <c r="I99" s="219" t="e">
        <f>I85^4/((I78^4/I92)+(I83^4/I97))</f>
        <v>#N/A</v>
      </c>
      <c r="J99" s="220" t="e">
        <f>J85^4/((J78^4/J92)+(J83^4/J97))</f>
        <v>#N/A</v>
      </c>
      <c r="K99" s="576" t="e">
        <f>MAX(F99:J99)</f>
        <v>#N/A</v>
      </c>
    </row>
    <row r="100" spans="1:17" ht="35.1" customHeight="1" thickBot="1" x14ac:dyDescent="0.25">
      <c r="B100" s="1"/>
      <c r="C100" s="1"/>
      <c r="D100" s="1"/>
      <c r="E100" s="1"/>
      <c r="F100" s="1150" t="s">
        <v>440</v>
      </c>
      <c r="G100" s="1151"/>
      <c r="H100" s="1151"/>
      <c r="I100" s="1151"/>
      <c r="J100" s="1152"/>
      <c r="K100" s="1"/>
    </row>
    <row r="101" spans="1:17" ht="35.1" customHeight="1" thickBot="1" x14ac:dyDescent="0.25">
      <c r="B101" s="67"/>
      <c r="C101" s="102"/>
      <c r="D101" s="68"/>
      <c r="E101" s="498"/>
      <c r="F101" s="519" t="e">
        <f>_xlfn.T.INV.2T(0.05,F99)</f>
        <v>#N/A</v>
      </c>
      <c r="G101" s="317" t="e">
        <f>_xlfn.T.INV.2T(0.05,G99)</f>
        <v>#N/A</v>
      </c>
      <c r="H101" s="317" t="e">
        <f>_xlfn.T.INV.2T(0.05,H99)</f>
        <v>#N/A</v>
      </c>
      <c r="I101" s="317" t="e">
        <f>_xlfn.T.INV.2T(0.05,I99)</f>
        <v>#N/A</v>
      </c>
      <c r="J101" s="520" t="e">
        <f>_xlfn.T.INV.2T(0.05,J99)</f>
        <v>#N/A</v>
      </c>
    </row>
    <row r="102" spans="1:17" ht="9.9499999999999993" customHeight="1" thickBot="1" x14ac:dyDescent="0.25">
      <c r="K102" s="1"/>
    </row>
    <row r="103" spans="1:17" ht="35.1" customHeight="1" thickBot="1" x14ac:dyDescent="0.25">
      <c r="F103" s="1017" t="s">
        <v>441</v>
      </c>
      <c r="G103" s="1018"/>
      <c r="H103" s="1018"/>
      <c r="I103" s="1018"/>
      <c r="J103" s="1019"/>
    </row>
    <row r="104" spans="1:17" ht="44.25" customHeight="1" thickBot="1" x14ac:dyDescent="0.25">
      <c r="B104" s="1"/>
      <c r="C104" s="1"/>
      <c r="D104" s="1"/>
      <c r="E104" s="1"/>
      <c r="F104" s="518" t="e">
        <f>(1-_xlfn.T.DIST.2T(F101,F99))</f>
        <v>#N/A</v>
      </c>
      <c r="G104" s="518" t="e">
        <f>(1-_xlfn.T.DIST.2T(G101,G99))</f>
        <v>#N/A</v>
      </c>
      <c r="H104" s="518" t="e">
        <f>(1-_xlfn.T.DIST.2T(H101,H99))</f>
        <v>#N/A</v>
      </c>
      <c r="I104" s="518" t="e">
        <f>(1-_xlfn.T.DIST.2T(I101,I99))</f>
        <v>#N/A</v>
      </c>
      <c r="J104" s="521" t="e">
        <f>(1-_xlfn.T.DIST.2T(J101,J99))</f>
        <v>#N/A</v>
      </c>
      <c r="K104" s="1"/>
    </row>
    <row r="105" spans="1:17" ht="35.1" customHeight="1" thickBot="1" x14ac:dyDescent="0.25">
      <c r="B105" s="1017" t="s">
        <v>442</v>
      </c>
      <c r="C105" s="1020"/>
      <c r="D105" s="1020"/>
      <c r="E105" s="1020"/>
      <c r="F105" s="1020"/>
      <c r="G105" s="1020"/>
      <c r="H105" s="1020"/>
      <c r="I105" s="1020"/>
      <c r="J105" s="1020"/>
      <c r="K105" s="1020"/>
      <c r="L105" s="1020"/>
      <c r="M105" s="1020"/>
      <c r="N105" s="1020"/>
      <c r="O105" s="1020"/>
      <c r="P105" s="1021"/>
    </row>
    <row r="106" spans="1:17" ht="35.1" customHeight="1" thickBot="1" x14ac:dyDescent="0.25">
      <c r="B106" s="1"/>
      <c r="C106" s="1"/>
      <c r="D106" s="1"/>
      <c r="E106" s="1"/>
      <c r="F106" s="26"/>
      <c r="G106" s="1"/>
      <c r="H106" s="1"/>
      <c r="I106" s="1"/>
      <c r="J106" s="1"/>
      <c r="K106" s="1"/>
    </row>
    <row r="107" spans="1:17" ht="33" customHeight="1" x14ac:dyDescent="0.2">
      <c r="B107" s="1164" t="s">
        <v>443</v>
      </c>
      <c r="C107" s="1012" t="s">
        <v>444</v>
      </c>
      <c r="D107" s="1012" t="s">
        <v>445</v>
      </c>
      <c r="E107" s="278" t="s">
        <v>446</v>
      </c>
      <c r="F107" s="1012" t="s">
        <v>447</v>
      </c>
      <c r="G107" s="278" t="s">
        <v>448</v>
      </c>
      <c r="H107" s="1012" t="s">
        <v>449</v>
      </c>
      <c r="I107" s="1012" t="s">
        <v>450</v>
      </c>
      <c r="J107" s="1159" t="s">
        <v>451</v>
      </c>
      <c r="K107" s="279" t="s">
        <v>452</v>
      </c>
      <c r="L107" s="1102" t="s">
        <v>453</v>
      </c>
      <c r="M107" s="1094" t="s">
        <v>454</v>
      </c>
    </row>
    <row r="108" spans="1:17" ht="35.1" customHeight="1" thickBot="1" x14ac:dyDescent="0.25">
      <c r="B108" s="1165"/>
      <c r="C108" s="1013"/>
      <c r="D108" s="1013"/>
      <c r="E108" s="280"/>
      <c r="F108" s="1013"/>
      <c r="G108" s="281"/>
      <c r="H108" s="1013"/>
      <c r="I108" s="1013"/>
      <c r="J108" s="1160"/>
      <c r="K108" s="282"/>
      <c r="L108" s="1103"/>
      <c r="M108" s="1095"/>
    </row>
    <row r="109" spans="1:17" ht="35.1" customHeight="1" x14ac:dyDescent="0.2">
      <c r="B109" s="61" t="e">
        <f>J55</f>
        <v>#DIV/0!</v>
      </c>
      <c r="C109" s="173" t="e">
        <f>L89</f>
        <v>#DIV/0!</v>
      </c>
      <c r="D109" s="295" t="e">
        <f>F85</f>
        <v>#N/A</v>
      </c>
      <c r="E109" s="233" t="e">
        <f>1/D109^2</f>
        <v>#N/A</v>
      </c>
      <c r="F109" s="296" t="e">
        <f>E109*B109*C109</f>
        <v>#N/A</v>
      </c>
      <c r="G109" s="297" t="e">
        <f>E109*B109^2</f>
        <v>#N/A</v>
      </c>
      <c r="H109" s="233" t="e">
        <f>E109*($C$116*B109-C109)^2</f>
        <v>#N/A</v>
      </c>
      <c r="I109" s="297" t="e">
        <f>((($C$117*$C$119)+($C$118*(J55^2))))</f>
        <v>#N/A</v>
      </c>
      <c r="J109" s="173" t="e">
        <f>SQRT(I109)</f>
        <v>#N/A</v>
      </c>
      <c r="K109" s="298" t="e">
        <f>SQRT($C$119+I109)</f>
        <v>#DIV/0!</v>
      </c>
      <c r="L109" s="299" t="e">
        <f>$E$136+$G$136*N128</f>
        <v>#DIV/0!</v>
      </c>
      <c r="M109" s="300" t="e">
        <f>L109/B109</f>
        <v>#DIV/0!</v>
      </c>
    </row>
    <row r="110" spans="1:17" ht="35.1" customHeight="1" x14ac:dyDescent="0.2">
      <c r="B110" s="63" t="e">
        <f t="shared" ref="B110:B113" si="14">J56</f>
        <v>#DIV/0!</v>
      </c>
      <c r="C110" s="111" t="e">
        <f>L90</f>
        <v>#DIV/0!</v>
      </c>
      <c r="D110" s="111" t="e">
        <f>G85</f>
        <v>#N/A</v>
      </c>
      <c r="E110" s="283" t="e">
        <f t="shared" ref="E110:E113" si="15">1/D110^2</f>
        <v>#N/A</v>
      </c>
      <c r="F110" s="284" t="e">
        <f t="shared" ref="F110:F113" si="16">E110*B110*C110</f>
        <v>#N/A</v>
      </c>
      <c r="G110" s="285" t="e">
        <f t="shared" ref="G110:G113" si="17">E110*B110^2</f>
        <v>#N/A</v>
      </c>
      <c r="H110" s="283" t="e">
        <f>E110*($C$116*B110-C110)^2</f>
        <v>#N/A</v>
      </c>
      <c r="I110" s="285" t="e">
        <f>$C$117*$C$119+$C$118*J56^2</f>
        <v>#N/A</v>
      </c>
      <c r="J110" s="31" t="e">
        <f t="shared" ref="J110:J113" si="18">SQRT(I110)</f>
        <v>#N/A</v>
      </c>
      <c r="K110" s="286" t="e">
        <f>SQRT($C$119+I110)</f>
        <v>#DIV/0!</v>
      </c>
      <c r="L110" s="287" t="e">
        <f t="shared" ref="L110:L113" si="19">$E$136+$G$136*N129</f>
        <v>#DIV/0!</v>
      </c>
      <c r="M110" s="288" t="e">
        <f t="shared" ref="M110:M113" si="20">L110/B110</f>
        <v>#DIV/0!</v>
      </c>
    </row>
    <row r="111" spans="1:17" ht="35.1" customHeight="1" x14ac:dyDescent="0.2">
      <c r="B111" s="63" t="e">
        <f t="shared" si="14"/>
        <v>#DIV/0!</v>
      </c>
      <c r="C111" s="111" t="e">
        <f>L91</f>
        <v>#DIV/0!</v>
      </c>
      <c r="D111" s="111" t="e">
        <f>H85</f>
        <v>#N/A</v>
      </c>
      <c r="E111" s="283" t="e">
        <f t="shared" si="15"/>
        <v>#N/A</v>
      </c>
      <c r="F111" s="284" t="e">
        <f t="shared" si="16"/>
        <v>#N/A</v>
      </c>
      <c r="G111" s="285" t="e">
        <f t="shared" si="17"/>
        <v>#N/A</v>
      </c>
      <c r="H111" s="283" t="e">
        <f>E111*($C$116*B111-C111)^2</f>
        <v>#N/A</v>
      </c>
      <c r="I111" s="285" t="e">
        <f>$C$117*$C$119+$C$118*J57^2</f>
        <v>#N/A</v>
      </c>
      <c r="J111" s="31" t="e">
        <f t="shared" si="18"/>
        <v>#N/A</v>
      </c>
      <c r="K111" s="286" t="e">
        <f>SQRT($C$119+I111)</f>
        <v>#DIV/0!</v>
      </c>
      <c r="L111" s="287" t="e">
        <f t="shared" si="19"/>
        <v>#DIV/0!</v>
      </c>
      <c r="M111" s="288" t="e">
        <f t="shared" si="20"/>
        <v>#DIV/0!</v>
      </c>
    </row>
    <row r="112" spans="1:17" ht="35.1" customHeight="1" x14ac:dyDescent="0.2">
      <c r="B112" s="63" t="e">
        <f t="shared" si="14"/>
        <v>#DIV/0!</v>
      </c>
      <c r="C112" s="111" t="e">
        <f>L92</f>
        <v>#DIV/0!</v>
      </c>
      <c r="D112" s="111" t="e">
        <f>I85</f>
        <v>#N/A</v>
      </c>
      <c r="E112" s="283" t="e">
        <f t="shared" si="15"/>
        <v>#N/A</v>
      </c>
      <c r="F112" s="284" t="e">
        <f t="shared" si="16"/>
        <v>#N/A</v>
      </c>
      <c r="G112" s="285" t="e">
        <f t="shared" si="17"/>
        <v>#N/A</v>
      </c>
      <c r="H112" s="283" t="e">
        <f>E112*($C$116*B112-C112)^2</f>
        <v>#N/A</v>
      </c>
      <c r="I112" s="285" t="e">
        <f>$C$117*$C$119+$C$118*J58^2</f>
        <v>#N/A</v>
      </c>
      <c r="J112" s="31" t="e">
        <f t="shared" si="18"/>
        <v>#N/A</v>
      </c>
      <c r="K112" s="286" t="e">
        <f>SQRT($C$119+I112)</f>
        <v>#DIV/0!</v>
      </c>
      <c r="L112" s="287" t="e">
        <f t="shared" si="19"/>
        <v>#DIV/0!</v>
      </c>
      <c r="M112" s="288" t="e">
        <f t="shared" si="20"/>
        <v>#DIV/0!</v>
      </c>
    </row>
    <row r="113" spans="2:26" ht="35.1" customHeight="1" thickBot="1" x14ac:dyDescent="0.25">
      <c r="B113" s="65" t="e">
        <f t="shared" si="14"/>
        <v>#DIV/0!</v>
      </c>
      <c r="C113" s="76" t="e">
        <f>L93</f>
        <v>#DIV/0!</v>
      </c>
      <c r="D113" s="76" t="e">
        <f>J85</f>
        <v>#N/A</v>
      </c>
      <c r="E113" s="234" t="e">
        <f t="shared" si="15"/>
        <v>#N/A</v>
      </c>
      <c r="F113" s="289" t="e">
        <f t="shared" si="16"/>
        <v>#N/A</v>
      </c>
      <c r="G113" s="290" t="e">
        <f t="shared" si="17"/>
        <v>#N/A</v>
      </c>
      <c r="H113" s="234" t="e">
        <f>E113*($C$116*B113-C113)^2</f>
        <v>#N/A</v>
      </c>
      <c r="I113" s="290" t="e">
        <f>$C$117*$C$119+$C$118*J59^2</f>
        <v>#N/A</v>
      </c>
      <c r="J113" s="291" t="e">
        <f t="shared" si="18"/>
        <v>#N/A</v>
      </c>
      <c r="K113" s="292" t="e">
        <f>SQRT($C$119+I113)</f>
        <v>#DIV/0!</v>
      </c>
      <c r="L113" s="293" t="e">
        <f t="shared" si="19"/>
        <v>#DIV/0!</v>
      </c>
      <c r="M113" s="294" t="e">
        <f t="shared" si="20"/>
        <v>#DIV/0!</v>
      </c>
    </row>
    <row r="114" spans="2:26" ht="35.1" customHeight="1" thickBot="1" x14ac:dyDescent="0.25">
      <c r="B114" s="1"/>
      <c r="C114" s="1"/>
      <c r="D114" s="1"/>
      <c r="E114" s="301" t="s">
        <v>455</v>
      </c>
      <c r="F114" s="302" t="e">
        <f>SUM(F109:F113)</f>
        <v>#N/A</v>
      </c>
      <c r="G114" s="302" t="e">
        <f>SUM(G109:G113)</f>
        <v>#N/A</v>
      </c>
      <c r="H114" s="302" t="e">
        <f t="shared" ref="H114" si="21">SUM(H109:H113)</f>
        <v>#N/A</v>
      </c>
      <c r="I114" s="303" t="e">
        <f>SUM(I109:I113)</f>
        <v>#N/A</v>
      </c>
      <c r="J114" s="1"/>
      <c r="K114" s="1"/>
    </row>
    <row r="115" spans="2:26" ht="35.1" customHeight="1" thickBo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26" s="6" customFormat="1" ht="33" customHeight="1" thickBot="1" x14ac:dyDescent="0.25">
      <c r="B116" s="182" t="s">
        <v>456</v>
      </c>
      <c r="C116" s="188" t="e">
        <f>(F114/G114)</f>
        <v>#N/A</v>
      </c>
      <c r="E116" s="210" t="s">
        <v>457</v>
      </c>
      <c r="F116" s="202">
        <v>1</v>
      </c>
      <c r="G116" s="328" t="s">
        <v>458</v>
      </c>
      <c r="H116" s="329">
        <f>5-2</f>
        <v>3</v>
      </c>
      <c r="I116" s="1"/>
      <c r="M116" s="1"/>
      <c r="N116" s="1"/>
      <c r="R116" s="43"/>
      <c r="S116" s="43"/>
      <c r="T116" s="43"/>
      <c r="U116" s="43"/>
      <c r="V116" s="43"/>
      <c r="W116" s="43"/>
      <c r="X116" s="43"/>
      <c r="Y116" s="43"/>
    </row>
    <row r="117" spans="2:26" s="6" customFormat="1" ht="28.5" customHeight="1" thickBot="1" x14ac:dyDescent="0.25">
      <c r="B117" s="183" t="s">
        <v>459</v>
      </c>
      <c r="C117" s="189" t="e">
        <f>C116^2</f>
        <v>#N/A</v>
      </c>
      <c r="E117" s="211" t="s">
        <v>460</v>
      </c>
      <c r="F117" s="203">
        <v>2</v>
      </c>
      <c r="G117" s="32"/>
      <c r="M117" s="1"/>
      <c r="N117" s="1"/>
      <c r="R117" s="43"/>
      <c r="S117" s="43"/>
      <c r="T117" s="43"/>
      <c r="U117" s="43"/>
      <c r="V117" s="43"/>
      <c r="W117" s="43"/>
      <c r="X117" s="43"/>
      <c r="Y117" s="43"/>
    </row>
    <row r="118" spans="2:26" ht="35.1" customHeight="1" x14ac:dyDescent="0.2">
      <c r="B118" s="184" t="s">
        <v>461</v>
      </c>
      <c r="C118" s="189" t="e">
        <f>1/G114</f>
        <v>#N/A</v>
      </c>
      <c r="E118" s="204" t="s">
        <v>462</v>
      </c>
      <c r="F118" s="190" t="e">
        <f>H114</f>
        <v>#N/A</v>
      </c>
      <c r="K118" s="1014"/>
      <c r="L118" s="1015"/>
      <c r="M118" s="1016"/>
    </row>
    <row r="119" spans="2:26" ht="35.1" customHeight="1" thickBot="1" x14ac:dyDescent="0.25">
      <c r="B119" s="185" t="s">
        <v>463</v>
      </c>
      <c r="C119" s="218" t="e">
        <f>SUMSQ(F74:F77)</f>
        <v>#DIV/0!</v>
      </c>
      <c r="E119" s="205" t="s">
        <v>464</v>
      </c>
      <c r="F119" s="200">
        <v>2</v>
      </c>
      <c r="K119" s="208" t="e">
        <f>ABS(F118-F120)</f>
        <v>#N/A</v>
      </c>
      <c r="L119" s="209" t="s">
        <v>465</v>
      </c>
      <c r="M119" s="214">
        <f>F119*SQRT(2*F120)</f>
        <v>4.8989794855663558</v>
      </c>
    </row>
    <row r="120" spans="2:26" ht="35.1" customHeight="1" thickBot="1" x14ac:dyDescent="0.25">
      <c r="B120" s="186" t="s">
        <v>466</v>
      </c>
      <c r="C120" s="190" t="e">
        <f>(C39/(G34*SQRT(12)))^2</f>
        <v>#DIV/0!</v>
      </c>
      <c r="E120" s="212" t="s">
        <v>467</v>
      </c>
      <c r="F120" s="201">
        <f>H116</f>
        <v>3</v>
      </c>
      <c r="K120" s="1145" t="e">
        <f>IF(K119&lt;=M119,"APROBADO","NO APROBADO")</f>
        <v>#N/A</v>
      </c>
      <c r="L120" s="1146"/>
      <c r="M120" s="1147"/>
    </row>
    <row r="121" spans="2:26" ht="30.75" customHeight="1" thickBot="1" x14ac:dyDescent="0.25">
      <c r="B121" s="187"/>
      <c r="C121" s="191" t="e">
        <f>F48^2</f>
        <v>#DIV/0!</v>
      </c>
      <c r="E121" s="206" t="s">
        <v>468</v>
      </c>
      <c r="F121" s="174" t="e">
        <f>MAX(F101:J101)</f>
        <v>#N/A</v>
      </c>
    </row>
    <row r="122" spans="2:26" ht="30.75" customHeight="1" thickBot="1" x14ac:dyDescent="0.25"/>
    <row r="123" spans="2:26" ht="35.1" customHeight="1" thickBot="1" x14ac:dyDescent="0.25">
      <c r="B123" s="1161"/>
      <c r="C123" s="1162"/>
      <c r="D123" s="1162"/>
      <c r="E123" s="1162"/>
      <c r="F123" s="1162"/>
      <c r="G123" s="1162"/>
      <c r="H123" s="1162"/>
      <c r="I123" s="1162"/>
      <c r="J123" s="1162"/>
      <c r="K123" s="1162"/>
      <c r="L123" s="1162"/>
      <c r="M123" s="1162"/>
      <c r="N123" s="1162"/>
      <c r="O123" s="1162"/>
      <c r="P123" s="1163"/>
    </row>
    <row r="124" spans="2:26" ht="35.1" customHeight="1" x14ac:dyDescent="0.2">
      <c r="C124" s="180" t="s">
        <v>469</v>
      </c>
      <c r="D124" s="229" t="e">
        <f>SLOPE(N128:N132,O128:O132)</f>
        <v>#N/A</v>
      </c>
      <c r="E124" s="1232" t="s">
        <v>470</v>
      </c>
      <c r="F124" s="1233"/>
      <c r="G124" s="181" t="s">
        <v>471</v>
      </c>
      <c r="H124" s="207">
        <v>5</v>
      </c>
      <c r="I124" s="1"/>
      <c r="K124" s="1"/>
    </row>
    <row r="125" spans="2:26" ht="35.1" customHeight="1" thickBot="1" x14ac:dyDescent="0.25">
      <c r="C125" s="104" t="s">
        <v>472</v>
      </c>
      <c r="D125" s="230" t="e">
        <f>INTERCEPT(O128:O132,N128:N132)</f>
        <v>#DIV/0!</v>
      </c>
      <c r="E125" s="1230" t="s">
        <v>473</v>
      </c>
      <c r="F125" s="1231"/>
      <c r="G125" s="105" t="s">
        <v>474</v>
      </c>
      <c r="H125" s="118" t="e">
        <f>D124*H124+D125</f>
        <v>#N/A</v>
      </c>
    </row>
    <row r="126" spans="2:26" ht="35.1" customHeight="1" thickBot="1" x14ac:dyDescent="0.25">
      <c r="L126" s="6"/>
    </row>
    <row r="127" spans="2:26" ht="35.1" customHeight="1" thickBot="1" x14ac:dyDescent="0.25">
      <c r="N127" s="166" t="s">
        <v>475</v>
      </c>
      <c r="O127" s="242" t="s">
        <v>476</v>
      </c>
      <c r="R127" s="600" t="s">
        <v>477</v>
      </c>
      <c r="S127" s="600" t="s">
        <v>478</v>
      </c>
      <c r="T127" s="601">
        <v>5</v>
      </c>
      <c r="U127" s="600"/>
      <c r="V127" s="600"/>
      <c r="W127" s="600"/>
      <c r="X127" s="600"/>
      <c r="Y127" s="600"/>
      <c r="Z127" s="602"/>
    </row>
    <row r="128" spans="2:26" ht="35.1" customHeight="1" x14ac:dyDescent="0.2">
      <c r="N128" s="240" t="e">
        <f>G21</f>
        <v>#N/A</v>
      </c>
      <c r="O128" s="241" t="e">
        <f>K109</f>
        <v>#DIV/0!</v>
      </c>
      <c r="R128" s="603" t="s">
        <v>479</v>
      </c>
      <c r="S128" s="604" t="s">
        <v>480</v>
      </c>
      <c r="T128" s="604" t="s">
        <v>481</v>
      </c>
      <c r="U128" s="604" t="s">
        <v>482</v>
      </c>
      <c r="V128" s="604" t="s">
        <v>483</v>
      </c>
      <c r="W128" s="604" t="s">
        <v>484</v>
      </c>
      <c r="X128" s="604" t="s">
        <v>485</v>
      </c>
      <c r="Y128" s="604" t="s">
        <v>486</v>
      </c>
      <c r="Z128" s="602"/>
    </row>
    <row r="129" spans="1:26" ht="35.1" customHeight="1" x14ac:dyDescent="0.2">
      <c r="I129" s="12"/>
      <c r="L129" s="115"/>
      <c r="N129" s="63" t="e">
        <f>G22</f>
        <v>#N/A</v>
      </c>
      <c r="O129" s="64" t="e">
        <f>K110</f>
        <v>#DIV/0!</v>
      </c>
      <c r="R129" s="601" t="e">
        <f t="shared" ref="R129:S133" si="22">N128</f>
        <v>#N/A</v>
      </c>
      <c r="S129" s="601" t="e">
        <f t="shared" si="22"/>
        <v>#DIV/0!</v>
      </c>
      <c r="T129" s="601" t="e">
        <f>R129*S129</f>
        <v>#N/A</v>
      </c>
      <c r="U129" s="601" t="e">
        <f>R129^2</f>
        <v>#N/A</v>
      </c>
      <c r="V129" s="600" t="e">
        <f>R134/T127</f>
        <v>#N/A</v>
      </c>
      <c r="W129" s="605" t="e">
        <f>S134/T127</f>
        <v>#DIV/0!</v>
      </c>
      <c r="X129" s="606" t="e">
        <f>SLOPE(S129:S133,R129:R133)</f>
        <v>#DIV/0!</v>
      </c>
      <c r="Y129" s="600" t="e">
        <f>INTERCEPT(K109:K113,G21:G25)</f>
        <v>#DIV/0!</v>
      </c>
      <c r="Z129" s="602"/>
    </row>
    <row r="130" spans="1:26" ht="35.1" customHeight="1" x14ac:dyDescent="0.2">
      <c r="I130" s="12"/>
      <c r="N130" s="63" t="e">
        <f>G23</f>
        <v>#N/A</v>
      </c>
      <c r="O130" s="64" t="e">
        <f>K111</f>
        <v>#DIV/0!</v>
      </c>
      <c r="R130" s="601" t="e">
        <f t="shared" si="22"/>
        <v>#N/A</v>
      </c>
      <c r="S130" s="601" t="e">
        <f t="shared" si="22"/>
        <v>#DIV/0!</v>
      </c>
      <c r="T130" s="601" t="e">
        <f t="shared" ref="T130:T133" si="23">R130*S130</f>
        <v>#N/A</v>
      </c>
      <c r="U130" s="601" t="e">
        <f t="shared" ref="U130:U133" si="24">R130^2</f>
        <v>#N/A</v>
      </c>
      <c r="V130" s="600"/>
      <c r="W130" s="600"/>
      <c r="X130" s="600"/>
      <c r="Y130" s="600"/>
      <c r="Z130" s="602"/>
    </row>
    <row r="131" spans="1:26" ht="35.1" customHeight="1" x14ac:dyDescent="0.2">
      <c r="I131" s="12"/>
      <c r="N131" s="63" t="e">
        <f>G24</f>
        <v>#N/A</v>
      </c>
      <c r="O131" s="64" t="e">
        <f>K112</f>
        <v>#DIV/0!</v>
      </c>
      <c r="R131" s="601" t="e">
        <f t="shared" si="22"/>
        <v>#N/A</v>
      </c>
      <c r="S131" s="601" t="e">
        <f t="shared" si="22"/>
        <v>#DIV/0!</v>
      </c>
      <c r="T131" s="601" t="e">
        <f t="shared" si="23"/>
        <v>#N/A</v>
      </c>
      <c r="U131" s="601" t="e">
        <f t="shared" si="24"/>
        <v>#N/A</v>
      </c>
      <c r="V131" s="600"/>
      <c r="W131" s="600"/>
      <c r="X131" s="600"/>
      <c r="Y131" s="600"/>
      <c r="Z131" s="602"/>
    </row>
    <row r="132" spans="1:26" ht="35.1" customHeight="1" thickBot="1" x14ac:dyDescent="0.25">
      <c r="A132" s="33"/>
      <c r="I132" s="12"/>
      <c r="N132" s="65" t="e">
        <f>G25</f>
        <v>#N/A</v>
      </c>
      <c r="O132" s="66" t="e">
        <f>K113</f>
        <v>#DIV/0!</v>
      </c>
      <c r="R132" s="601" t="e">
        <f t="shared" si="22"/>
        <v>#N/A</v>
      </c>
      <c r="S132" s="601" t="e">
        <f t="shared" si="22"/>
        <v>#DIV/0!</v>
      </c>
      <c r="T132" s="601" t="e">
        <f t="shared" si="23"/>
        <v>#N/A</v>
      </c>
      <c r="U132" s="601" t="e">
        <f t="shared" si="24"/>
        <v>#N/A</v>
      </c>
      <c r="V132" s="600"/>
      <c r="W132" s="600"/>
      <c r="X132" s="600"/>
      <c r="Y132" s="600"/>
      <c r="Z132" s="602"/>
    </row>
    <row r="133" spans="1:26" ht="35.1" customHeight="1" x14ac:dyDescent="0.2">
      <c r="A133" s="33"/>
      <c r="I133" s="12"/>
      <c r="J133" s="12"/>
      <c r="K133" s="12"/>
      <c r="L133" s="12"/>
      <c r="R133" s="601" t="e">
        <f t="shared" si="22"/>
        <v>#N/A</v>
      </c>
      <c r="S133" s="601" t="e">
        <f t="shared" si="22"/>
        <v>#DIV/0!</v>
      </c>
      <c r="T133" s="601" t="e">
        <f t="shared" si="23"/>
        <v>#N/A</v>
      </c>
      <c r="U133" s="601" t="e">
        <f t="shared" si="24"/>
        <v>#N/A</v>
      </c>
      <c r="V133" s="600"/>
      <c r="W133" s="600"/>
      <c r="X133" s="600"/>
      <c r="Y133" s="600"/>
      <c r="Z133" s="602"/>
    </row>
    <row r="134" spans="1:26" ht="43.5" customHeight="1" thickBot="1" x14ac:dyDescent="0.25">
      <c r="A134" s="33"/>
      <c r="I134" s="34"/>
      <c r="J134" s="34"/>
      <c r="K134" s="34"/>
      <c r="L134" s="34"/>
      <c r="R134" s="607" t="e">
        <f>SUM(R129:R133)</f>
        <v>#N/A</v>
      </c>
      <c r="S134" s="607" t="e">
        <f t="shared" ref="S134:U134" si="25">SUM(S129:S133)</f>
        <v>#DIV/0!</v>
      </c>
      <c r="T134" s="607" t="e">
        <f t="shared" si="25"/>
        <v>#N/A</v>
      </c>
      <c r="U134" s="607" t="e">
        <f t="shared" si="25"/>
        <v>#N/A</v>
      </c>
      <c r="V134" s="608" t="s">
        <v>487</v>
      </c>
      <c r="W134" s="600"/>
      <c r="X134" s="600"/>
      <c r="Y134" s="600"/>
      <c r="Z134" s="602"/>
    </row>
    <row r="135" spans="1:26" s="6" customFormat="1" ht="35.1" customHeight="1" thickBot="1" x14ac:dyDescent="0.25">
      <c r="C135" s="192" t="s">
        <v>488</v>
      </c>
      <c r="D135" s="193"/>
      <c r="E135" s="194" t="e">
        <f>C117*C119</f>
        <v>#N/A</v>
      </c>
      <c r="F135" s="195" t="s">
        <v>489</v>
      </c>
      <c r="G135" s="194" t="e">
        <f>C118+C117*C120</f>
        <v>#N/A</v>
      </c>
      <c r="H135" s="197" t="s">
        <v>490</v>
      </c>
      <c r="L135" s="12"/>
      <c r="M135" s="1"/>
      <c r="N135" s="1"/>
      <c r="O135" s="1"/>
      <c r="P135" s="1"/>
      <c r="Q135" s="1"/>
      <c r="R135" s="305"/>
      <c r="S135" s="305"/>
      <c r="T135" s="305"/>
      <c r="U135" s="43"/>
      <c r="V135" s="43"/>
      <c r="W135" s="43"/>
      <c r="X135" s="43"/>
      <c r="Y135" s="43"/>
    </row>
    <row r="136" spans="1:26" s="6" customFormat="1" ht="35.1" customHeight="1" thickBot="1" x14ac:dyDescent="0.25">
      <c r="A136" s="1"/>
      <c r="C136" s="1100" t="s">
        <v>491</v>
      </c>
      <c r="D136" s="1101"/>
      <c r="E136" s="228" t="e">
        <f>D125*N97</f>
        <v>#DIV/0!</v>
      </c>
      <c r="F136" s="196" t="s">
        <v>489</v>
      </c>
      <c r="G136" s="199" t="e">
        <f>D124*N97</f>
        <v>#N/A</v>
      </c>
      <c r="H136" s="198" t="s">
        <v>492</v>
      </c>
      <c r="M136" s="1"/>
      <c r="N136" s="1"/>
      <c r="O136" s="1"/>
      <c r="P136" s="1"/>
      <c r="Q136" s="1"/>
      <c r="R136" s="305"/>
      <c r="S136" s="305"/>
      <c r="T136" s="305"/>
      <c r="U136" s="43"/>
      <c r="V136" s="43"/>
      <c r="W136" s="43"/>
      <c r="X136" s="43"/>
      <c r="Y136" s="43"/>
    </row>
    <row r="137" spans="1:26" ht="35.1" customHeight="1" thickBot="1" x14ac:dyDescent="0.25"/>
    <row r="138" spans="1:26" ht="35.1" customHeight="1" thickBot="1" x14ac:dyDescent="0.25">
      <c r="B138" s="1156" t="s">
        <v>493</v>
      </c>
      <c r="C138" s="1157"/>
      <c r="D138" s="1157"/>
      <c r="E138" s="1157"/>
      <c r="F138" s="1157"/>
      <c r="G138" s="1157"/>
      <c r="H138" s="1157"/>
      <c r="I138" s="1157"/>
      <c r="J138" s="1157"/>
      <c r="K138" s="1157"/>
      <c r="L138" s="1157"/>
      <c r="M138" s="1157"/>
      <c r="N138" s="1157"/>
      <c r="O138" s="1157"/>
      <c r="P138" s="1158"/>
    </row>
    <row r="139" spans="1:26" ht="35.1" customHeight="1" thickBot="1" x14ac:dyDescent="0.25">
      <c r="F139" s="304" t="s">
        <v>494</v>
      </c>
      <c r="H139" s="1"/>
      <c r="O139" s="172"/>
    </row>
    <row r="140" spans="1:26" ht="35.1" customHeight="1" x14ac:dyDescent="0.2">
      <c r="B140" s="1143" t="s">
        <v>495</v>
      </c>
      <c r="C140" s="1144"/>
      <c r="D140" s="1144"/>
      <c r="E140" s="106" t="s">
        <v>496</v>
      </c>
      <c r="F140" s="233" t="e">
        <f>C116</f>
        <v>#N/A</v>
      </c>
      <c r="G140" s="121" t="s">
        <v>497</v>
      </c>
      <c r="I140" s="1143" t="s">
        <v>498</v>
      </c>
      <c r="J140" s="1144"/>
      <c r="K140" s="1144"/>
      <c r="L140" s="170" t="s">
        <v>499</v>
      </c>
      <c r="M140" s="86" t="e">
        <f>D125*N97</f>
        <v>#DIV/0!</v>
      </c>
      <c r="N140" s="107" t="s">
        <v>489</v>
      </c>
      <c r="O140" s="232" t="e">
        <f>D124*N97</f>
        <v>#N/A</v>
      </c>
      <c r="P140" s="119" t="s">
        <v>497</v>
      </c>
    </row>
    <row r="141" spans="1:26" ht="35.1" customHeight="1" thickBot="1" x14ac:dyDescent="0.25">
      <c r="B141" s="1148" t="s">
        <v>495</v>
      </c>
      <c r="C141" s="1149"/>
      <c r="D141" s="1149"/>
      <c r="E141" s="125" t="s">
        <v>500</v>
      </c>
      <c r="F141" s="234" t="e">
        <f>F140</f>
        <v>#N/A</v>
      </c>
      <c r="G141" s="122" t="s">
        <v>501</v>
      </c>
      <c r="I141" s="1141" t="s">
        <v>498</v>
      </c>
      <c r="J141" s="1142"/>
      <c r="K141" s="1142"/>
      <c r="L141" s="124" t="s">
        <v>502</v>
      </c>
      <c r="M141" s="264" t="e">
        <f>M140/1000</f>
        <v>#DIV/0!</v>
      </c>
      <c r="N141" s="108" t="s">
        <v>489</v>
      </c>
      <c r="O141" s="231" t="e">
        <f>O140/1000</f>
        <v>#N/A</v>
      </c>
      <c r="P141" s="120" t="s">
        <v>501</v>
      </c>
    </row>
    <row r="142" spans="1:26" ht="35.1" customHeight="1" thickBot="1" x14ac:dyDescent="0.25">
      <c r="J142" s="1"/>
    </row>
    <row r="143" spans="1:26" ht="35.1" customHeight="1" thickBot="1" x14ac:dyDescent="0.25">
      <c r="A143" s="1183" t="s">
        <v>503</v>
      </c>
      <c r="B143" s="1184"/>
      <c r="C143" s="1184"/>
      <c r="D143" s="1184"/>
      <c r="E143" s="1184"/>
      <c r="F143" s="1184"/>
      <c r="G143" s="1184"/>
      <c r="H143" s="1184"/>
      <c r="I143" s="1184"/>
      <c r="J143" s="1184"/>
      <c r="K143" s="1184"/>
      <c r="L143" s="1184"/>
      <c r="M143" s="1184"/>
      <c r="N143" s="1184"/>
      <c r="O143" s="1184"/>
      <c r="P143" s="1185"/>
      <c r="R143" s="1"/>
      <c r="S143" s="1"/>
      <c r="T143" s="1"/>
      <c r="U143" s="1"/>
      <c r="V143" s="1"/>
      <c r="W143" s="1"/>
      <c r="X143" s="1"/>
      <c r="Y143" s="1"/>
    </row>
    <row r="144" spans="1:26" ht="35.1" customHeight="1" thickBot="1" x14ac:dyDescent="0.25">
      <c r="R144" s="1"/>
      <c r="S144" s="1"/>
      <c r="T144" s="1"/>
      <c r="U144" s="1"/>
      <c r="V144" s="1"/>
      <c r="W144" s="1"/>
      <c r="X144" s="1"/>
      <c r="Y144" s="1"/>
    </row>
    <row r="145" spans="1:25" ht="67.5" customHeight="1" thickBot="1" x14ac:dyDescent="0.25">
      <c r="A145" s="1186" t="s">
        <v>504</v>
      </c>
      <c r="B145" s="1187"/>
      <c r="C145" s="1187"/>
      <c r="D145" s="1187"/>
      <c r="E145" s="1187"/>
      <c r="F145" s="1188"/>
      <c r="I145" s="1189" t="s">
        <v>505</v>
      </c>
      <c r="J145" s="1190"/>
      <c r="K145" s="1190"/>
      <c r="L145" s="1190"/>
      <c r="M145" s="1190"/>
      <c r="N145" s="1190"/>
      <c r="O145" s="1190"/>
      <c r="P145" s="1191"/>
      <c r="R145" s="1"/>
      <c r="S145" s="1"/>
      <c r="T145" s="1"/>
      <c r="U145" s="1"/>
      <c r="V145" s="1"/>
      <c r="W145" s="1"/>
      <c r="X145" s="1"/>
      <c r="Y145" s="1"/>
    </row>
    <row r="146" spans="1:25" ht="106.5" customHeight="1" thickBot="1" x14ac:dyDescent="0.25">
      <c r="A146" s="609" t="s">
        <v>485</v>
      </c>
      <c r="B146" s="610" t="s">
        <v>506</v>
      </c>
      <c r="C146" s="610" t="s">
        <v>507</v>
      </c>
      <c r="D146" s="610" t="s">
        <v>508</v>
      </c>
      <c r="E146" s="611" t="s">
        <v>509</v>
      </c>
      <c r="F146" s="612"/>
      <c r="I146" s="1192"/>
      <c r="J146" s="1193"/>
      <c r="K146" s="1193"/>
      <c r="L146" s="1193"/>
      <c r="M146" s="1193"/>
      <c r="N146" s="1193"/>
      <c r="O146" s="1193"/>
      <c r="P146" s="1194"/>
      <c r="Q146" s="6"/>
      <c r="R146" s="1"/>
      <c r="S146" s="1"/>
      <c r="T146" s="1"/>
      <c r="U146" s="1"/>
      <c r="V146" s="1"/>
      <c r="W146" s="1"/>
      <c r="X146" s="1"/>
      <c r="Y146" s="1"/>
    </row>
    <row r="147" spans="1:25" ht="35.1" customHeight="1" x14ac:dyDescent="0.2">
      <c r="A147" s="613">
        <v>1</v>
      </c>
      <c r="B147" s="614"/>
      <c r="C147" s="615" t="e">
        <f>F48</f>
        <v>#DIV/0!</v>
      </c>
      <c r="D147" s="616" t="e">
        <f>F6</f>
        <v>#N/A</v>
      </c>
      <c r="E147" s="617"/>
      <c r="F147" s="618"/>
      <c r="I147" s="1195"/>
      <c r="J147" s="1196"/>
      <c r="K147" s="1196"/>
      <c r="L147" s="1196"/>
      <c r="M147" s="1196"/>
      <c r="N147" s="1196"/>
      <c r="O147" s="1196"/>
      <c r="P147" s="1197"/>
      <c r="Q147" s="6"/>
      <c r="R147" s="1"/>
      <c r="S147" s="1"/>
      <c r="T147" s="1"/>
      <c r="U147" s="1"/>
      <c r="V147" s="1"/>
      <c r="W147" s="1"/>
      <c r="X147" s="1"/>
      <c r="Y147" s="1"/>
    </row>
    <row r="148" spans="1:25" ht="35.1" customHeight="1" thickBot="1" x14ac:dyDescent="0.25">
      <c r="A148" s="619">
        <v>2</v>
      </c>
      <c r="B148" s="620"/>
      <c r="C148" s="621"/>
      <c r="D148" s="622"/>
      <c r="E148" s="623"/>
      <c r="F148" s="624"/>
      <c r="I148" s="1198"/>
      <c r="J148" s="1199"/>
      <c r="K148" s="1199"/>
      <c r="L148" s="1199"/>
      <c r="M148" s="1199"/>
      <c r="N148" s="1199"/>
      <c r="O148" s="1199"/>
      <c r="P148" s="1200"/>
      <c r="Q148" s="6"/>
      <c r="R148" s="1"/>
      <c r="S148" s="1"/>
      <c r="T148" s="1"/>
      <c r="U148" s="1"/>
      <c r="V148" s="1"/>
      <c r="W148" s="1"/>
      <c r="X148" s="1"/>
      <c r="Y148" s="1"/>
    </row>
    <row r="149" spans="1:25" ht="35.1" customHeight="1" thickBot="1" x14ac:dyDescent="0.25">
      <c r="A149" s="619">
        <v>3</v>
      </c>
      <c r="B149" s="620"/>
      <c r="C149" s="621"/>
      <c r="D149" s="622"/>
      <c r="E149" s="623"/>
      <c r="F149" s="624"/>
      <c r="L149" s="6"/>
      <c r="M149" s="6"/>
      <c r="N149" s="6"/>
      <c r="O149" s="6"/>
      <c r="P149" s="6"/>
      <c r="Q149" s="6"/>
      <c r="R149" s="1"/>
      <c r="S149" s="1"/>
      <c r="T149" s="1"/>
      <c r="U149" s="1"/>
      <c r="V149" s="1"/>
      <c r="W149" s="1"/>
      <c r="X149" s="1"/>
      <c r="Y149" s="1"/>
    </row>
    <row r="150" spans="1:25" ht="57.95" customHeight="1" thickBot="1" x14ac:dyDescent="0.25">
      <c r="A150" s="619">
        <v>4</v>
      </c>
      <c r="B150" s="620"/>
      <c r="C150" s="621"/>
      <c r="D150" s="622"/>
      <c r="E150" s="623"/>
      <c r="F150" s="624"/>
      <c r="I150" s="1201" t="s">
        <v>510</v>
      </c>
      <c r="J150" s="1203" t="s">
        <v>511</v>
      </c>
      <c r="K150" s="1204"/>
      <c r="L150" s="1205"/>
      <c r="M150" s="579" t="s">
        <v>512</v>
      </c>
      <c r="N150" s="580" t="s">
        <v>513</v>
      </c>
      <c r="O150" s="808" t="s">
        <v>514</v>
      </c>
      <c r="P150" s="1206" t="s">
        <v>545</v>
      </c>
      <c r="Q150" s="1207"/>
      <c r="R150" s="1"/>
      <c r="S150" s="1"/>
      <c r="T150" s="1"/>
      <c r="U150" s="1"/>
      <c r="V150" s="1"/>
      <c r="W150" s="1"/>
      <c r="X150" s="1"/>
      <c r="Y150" s="1"/>
    </row>
    <row r="151" spans="1:25" ht="34.5" customHeight="1" thickBot="1" x14ac:dyDescent="0.25">
      <c r="A151" s="619">
        <v>5</v>
      </c>
      <c r="B151" s="620"/>
      <c r="C151" s="621"/>
      <c r="D151" s="622"/>
      <c r="E151" s="623"/>
      <c r="F151" s="624"/>
      <c r="I151" s="1202"/>
      <c r="J151" s="581" t="s">
        <v>515</v>
      </c>
      <c r="K151" s="582"/>
      <c r="L151" s="583"/>
      <c r="M151" s="584" t="s">
        <v>516</v>
      </c>
      <c r="N151" s="585" t="s">
        <v>517</v>
      </c>
      <c r="O151" s="586" t="s">
        <v>518</v>
      </c>
      <c r="P151" s="1208"/>
      <c r="Q151" s="1209"/>
      <c r="R151" s="1"/>
      <c r="S151" s="1"/>
      <c r="T151" s="1"/>
      <c r="U151" s="1"/>
      <c r="V151" s="1"/>
      <c r="W151" s="1"/>
      <c r="X151" s="1"/>
      <c r="Y151" s="1"/>
    </row>
    <row r="152" spans="1:25" ht="35.1" customHeight="1" thickBot="1" x14ac:dyDescent="0.25">
      <c r="A152" s="619"/>
      <c r="B152" s="620"/>
      <c r="C152" s="625"/>
      <c r="D152" s="622"/>
      <c r="E152" s="623"/>
      <c r="F152" s="624"/>
      <c r="I152" s="635">
        <f>K43</f>
        <v>10</v>
      </c>
      <c r="J152" s="636" t="e">
        <f>SUMSQ(C147:C156)</f>
        <v>#DIV/0!</v>
      </c>
      <c r="K152" s="637" t="e">
        <f>J152/O152</f>
        <v>#DIV/0!</v>
      </c>
      <c r="L152" s="638" t="e">
        <f>SQRT(K152)</f>
        <v>#DIV/0!</v>
      </c>
      <c r="M152" s="637">
        <f>I152-1</f>
        <v>9</v>
      </c>
      <c r="N152" s="639">
        <f>M152*O152</f>
        <v>36</v>
      </c>
      <c r="O152" s="640">
        <f>COUNT(A147:A156)-1</f>
        <v>4</v>
      </c>
      <c r="P152" s="1210"/>
      <c r="Q152" s="1211"/>
      <c r="R152" s="1"/>
      <c r="S152" s="1"/>
      <c r="T152" s="1"/>
      <c r="U152" s="1"/>
      <c r="V152" s="1"/>
      <c r="W152" s="1"/>
      <c r="X152" s="1"/>
      <c r="Y152" s="1"/>
    </row>
    <row r="153" spans="1:25" ht="35.1" customHeight="1" thickBot="1" x14ac:dyDescent="0.3">
      <c r="A153" s="619"/>
      <c r="B153" s="620"/>
      <c r="C153" s="625"/>
      <c r="D153" s="622"/>
      <c r="E153" s="626"/>
      <c r="F153" s="625"/>
      <c r="J153"/>
      <c r="K153"/>
      <c r="L153"/>
      <c r="M153"/>
      <c r="N153"/>
      <c r="O153"/>
      <c r="R153" s="1"/>
      <c r="S153" s="1"/>
      <c r="T153" s="1"/>
      <c r="U153" s="1"/>
      <c r="V153" s="1"/>
      <c r="W153" s="1"/>
      <c r="X153" s="1"/>
      <c r="Y153" s="1"/>
    </row>
    <row r="154" spans="1:25" ht="35.1" customHeight="1" thickBot="1" x14ac:dyDescent="0.3">
      <c r="A154" s="619"/>
      <c r="B154" s="620"/>
      <c r="C154" s="625"/>
      <c r="D154" s="622"/>
      <c r="E154" s="626"/>
      <c r="F154" s="625"/>
      <c r="I154"/>
      <c r="J154" s="587" t="s">
        <v>519</v>
      </c>
      <c r="K154" s="588" t="e">
        <f>C151^2/L152^2</f>
        <v>#DIV/0!</v>
      </c>
      <c r="L154"/>
      <c r="M154"/>
      <c r="N154"/>
      <c r="O154"/>
      <c r="R154" s="1"/>
      <c r="S154" s="1"/>
      <c r="T154" s="1"/>
      <c r="U154" s="1"/>
      <c r="V154" s="1"/>
      <c r="W154" s="1"/>
      <c r="X154" s="1"/>
      <c r="Y154" s="1"/>
    </row>
    <row r="155" spans="1:25" ht="35.1" customHeight="1" thickBot="1" x14ac:dyDescent="0.3">
      <c r="A155" s="627"/>
      <c r="B155" s="620"/>
      <c r="C155" s="628"/>
      <c r="D155" s="622"/>
      <c r="E155" s="629"/>
      <c r="F155" s="628"/>
      <c r="I155"/>
      <c r="J155"/>
      <c r="K155"/>
      <c r="L155"/>
      <c r="M155"/>
      <c r="N155"/>
      <c r="O155"/>
      <c r="R155" s="1"/>
      <c r="S155" s="1"/>
      <c r="T155" s="1"/>
      <c r="U155" s="1"/>
      <c r="V155" s="1"/>
      <c r="W155" s="1"/>
      <c r="X155" s="1"/>
      <c r="Y155" s="1"/>
    </row>
    <row r="156" spans="1:25" ht="35.1" customHeight="1" thickBot="1" x14ac:dyDescent="0.3">
      <c r="A156" s="627"/>
      <c r="B156" s="620"/>
      <c r="C156" s="628"/>
      <c r="D156" s="622"/>
      <c r="E156" s="629"/>
      <c r="F156" s="628"/>
      <c r="J156" s="589" t="s">
        <v>520</v>
      </c>
      <c r="K156" s="590">
        <f>INDEX(A165:K193,MATCH(O152,A165:A193,0),MATCH(M152,A165:K165,0))</f>
        <v>2.153</v>
      </c>
      <c r="L156"/>
      <c r="M156"/>
      <c r="N156"/>
      <c r="O156"/>
      <c r="R156" s="1"/>
      <c r="S156" s="1"/>
      <c r="T156" s="1"/>
      <c r="U156" s="1"/>
      <c r="V156" s="1"/>
      <c r="W156" s="1"/>
      <c r="X156" s="1"/>
      <c r="Y156" s="1"/>
    </row>
    <row r="157" spans="1:25" ht="35.1" customHeight="1" thickBot="1" x14ac:dyDescent="0.25">
      <c r="A157" s="627"/>
      <c r="B157" s="620"/>
      <c r="C157" s="628"/>
      <c r="D157" s="622"/>
      <c r="E157" s="629"/>
      <c r="F157" s="628"/>
      <c r="K157" s="40"/>
      <c r="R157" s="1"/>
      <c r="S157" s="1"/>
      <c r="T157" s="1"/>
      <c r="U157" s="1"/>
      <c r="V157" s="1"/>
      <c r="W157" s="1"/>
      <c r="X157" s="1"/>
      <c r="Y157" s="1"/>
    </row>
    <row r="158" spans="1:25" ht="35.1" customHeight="1" thickBot="1" x14ac:dyDescent="0.25">
      <c r="A158" s="627"/>
      <c r="B158" s="620"/>
      <c r="C158" s="628"/>
      <c r="D158" s="622"/>
      <c r="E158" s="629"/>
      <c r="F158" s="628"/>
      <c r="J158" s="1212" t="s">
        <v>521</v>
      </c>
      <c r="K158" s="1213"/>
      <c r="R158" s="1"/>
      <c r="S158" s="1"/>
      <c r="T158" s="1"/>
      <c r="U158" s="1"/>
      <c r="V158" s="1"/>
      <c r="W158" s="1"/>
      <c r="X158" s="1"/>
      <c r="Y158" s="1"/>
    </row>
    <row r="159" spans="1:25" ht="35.1" customHeight="1" thickBot="1" x14ac:dyDescent="0.25">
      <c r="A159" s="630"/>
      <c r="B159" s="631"/>
      <c r="C159" s="632"/>
      <c r="D159" s="633"/>
      <c r="E159" s="634"/>
      <c r="F159" s="632"/>
      <c r="J159" s="988"/>
      <c r="K159" s="989"/>
      <c r="R159" s="1"/>
      <c r="S159" s="1"/>
      <c r="T159" s="1"/>
      <c r="U159" s="1"/>
      <c r="V159" s="1"/>
      <c r="W159" s="1"/>
      <c r="X159" s="1"/>
      <c r="Y159" s="1"/>
    </row>
    <row r="160" spans="1:25" ht="35.1" customHeight="1" x14ac:dyDescent="0.2">
      <c r="L160" s="6"/>
      <c r="M160" s="6"/>
      <c r="N160" s="6"/>
      <c r="O160" s="6"/>
      <c r="P160" s="6"/>
      <c r="R160" s="1"/>
      <c r="S160" s="1"/>
      <c r="T160" s="1"/>
      <c r="U160" s="1"/>
      <c r="V160" s="1"/>
      <c r="W160" s="1"/>
      <c r="X160" s="1"/>
      <c r="Y160" s="1"/>
    </row>
    <row r="161" spans="1:25" ht="35.1" customHeight="1" x14ac:dyDescent="0.2">
      <c r="L161" s="6"/>
      <c r="M161" s="1179" t="e">
        <f>IF(K154&lt;=K156,P150,"Repetir prueba")</f>
        <v>#DIV/0!</v>
      </c>
      <c r="N161" s="1179"/>
      <c r="O161" s="1179"/>
      <c r="P161" s="1179"/>
      <c r="R161" s="1"/>
      <c r="S161" s="1"/>
      <c r="T161" s="1"/>
      <c r="U161" s="1"/>
      <c r="V161" s="1"/>
      <c r="W161" s="1"/>
      <c r="X161" s="1"/>
      <c r="Y161" s="1"/>
    </row>
    <row r="162" spans="1:25" ht="35.1" customHeight="1" thickBot="1" x14ac:dyDescent="0.25">
      <c r="L162" s="6"/>
      <c r="M162" s="1179"/>
      <c r="N162" s="1179"/>
      <c r="O162" s="1179"/>
      <c r="P162" s="1179"/>
      <c r="R162" s="1"/>
      <c r="S162" s="1"/>
      <c r="T162" s="1"/>
      <c r="U162" s="1"/>
      <c r="V162" s="1"/>
      <c r="W162" s="1"/>
      <c r="X162" s="1"/>
      <c r="Y162" s="1"/>
    </row>
    <row r="163" spans="1:25" ht="65.25" customHeight="1" thickBot="1" x14ac:dyDescent="0.25">
      <c r="A163" s="1096" t="s">
        <v>522</v>
      </c>
      <c r="B163" s="1097"/>
      <c r="C163" s="1097"/>
      <c r="D163" s="1097"/>
      <c r="E163" s="1097"/>
      <c r="F163" s="1097"/>
      <c r="G163" s="1097"/>
      <c r="H163" s="1097"/>
      <c r="I163" s="1097"/>
      <c r="J163" s="1097"/>
      <c r="K163" s="1098"/>
      <c r="L163" s="6"/>
      <c r="M163" s="1179"/>
      <c r="N163" s="1179"/>
      <c r="O163" s="1179"/>
      <c r="P163" s="1179"/>
      <c r="R163" s="1"/>
      <c r="S163" s="1"/>
      <c r="T163" s="1"/>
      <c r="U163" s="1"/>
      <c r="V163" s="1"/>
      <c r="W163" s="1"/>
      <c r="X163" s="1"/>
      <c r="Y163" s="1"/>
    </row>
    <row r="164" spans="1:25" ht="33.950000000000003" customHeight="1" thickBot="1" x14ac:dyDescent="0.25">
      <c r="A164" s="698"/>
      <c r="B164" s="1180" t="s">
        <v>523</v>
      </c>
      <c r="C164" s="1181"/>
      <c r="D164" s="1181"/>
      <c r="E164" s="1181"/>
      <c r="F164" s="1181"/>
      <c r="G164" s="1181"/>
      <c r="H164" s="1181"/>
      <c r="I164" s="1181"/>
      <c r="J164" s="1181"/>
      <c r="K164" s="1182"/>
      <c r="M164" s="1179"/>
      <c r="N164" s="1179"/>
      <c r="O164" s="1179"/>
      <c r="P164" s="1179"/>
      <c r="R164" s="1"/>
      <c r="S164" s="1"/>
      <c r="T164" s="1"/>
      <c r="U164" s="1"/>
      <c r="V164" s="1"/>
      <c r="W164" s="1"/>
      <c r="X164" s="1"/>
      <c r="Y164" s="1"/>
    </row>
    <row r="165" spans="1:25" ht="35.1" customHeight="1" thickBot="1" x14ac:dyDescent="0.25">
      <c r="A165" s="591" t="s">
        <v>485</v>
      </c>
      <c r="B165" s="699">
        <v>1</v>
      </c>
      <c r="C165" s="700">
        <v>2</v>
      </c>
      <c r="D165" s="700">
        <v>3</v>
      </c>
      <c r="E165" s="700">
        <v>4</v>
      </c>
      <c r="F165" s="700">
        <v>5</v>
      </c>
      <c r="G165" s="700">
        <v>6</v>
      </c>
      <c r="H165" s="700">
        <v>7</v>
      </c>
      <c r="I165" s="700">
        <v>8</v>
      </c>
      <c r="J165" s="700">
        <v>9</v>
      </c>
      <c r="K165" s="701">
        <v>10</v>
      </c>
      <c r="M165" s="1179"/>
      <c r="N165" s="1179"/>
      <c r="O165" s="1179"/>
      <c r="P165" s="1179"/>
      <c r="R165" s="1"/>
      <c r="S165" s="1"/>
      <c r="T165" s="1"/>
      <c r="U165" s="1"/>
      <c r="V165" s="1"/>
      <c r="W165" s="1"/>
      <c r="X165" s="1"/>
      <c r="Y165" s="1"/>
    </row>
    <row r="166" spans="1:25" ht="32.450000000000003" customHeight="1" x14ac:dyDescent="0.2">
      <c r="A166" s="702">
        <v>1</v>
      </c>
      <c r="B166" s="703">
        <v>161.44800000000001</v>
      </c>
      <c r="C166" s="704">
        <v>19</v>
      </c>
      <c r="D166" s="704">
        <v>9.2769999999999992</v>
      </c>
      <c r="E166" s="704">
        <v>6.3879999999999999</v>
      </c>
      <c r="F166" s="704">
        <v>5.05</v>
      </c>
      <c r="G166" s="704">
        <v>4.2839999999999998</v>
      </c>
      <c r="H166" s="704">
        <v>3.7869999999999999</v>
      </c>
      <c r="I166" s="704">
        <v>3.4380000000000002</v>
      </c>
      <c r="J166" s="704">
        <v>3.1789999999999998</v>
      </c>
      <c r="K166" s="705">
        <v>2.9780000000000002</v>
      </c>
      <c r="M166" s="1179"/>
      <c r="N166" s="1179"/>
      <c r="O166" s="1179"/>
      <c r="P166" s="1179"/>
      <c r="R166" s="1"/>
      <c r="S166" s="1"/>
      <c r="T166" s="1"/>
      <c r="U166" s="1"/>
      <c r="V166" s="1"/>
      <c r="W166" s="1"/>
      <c r="X166" s="1"/>
      <c r="Y166" s="1"/>
    </row>
    <row r="167" spans="1:25" ht="32.450000000000003" customHeight="1" x14ac:dyDescent="0.2">
      <c r="A167" s="706">
        <v>2</v>
      </c>
      <c r="B167" s="707">
        <v>18.513000000000002</v>
      </c>
      <c r="C167" s="708">
        <v>6.944</v>
      </c>
      <c r="D167" s="708">
        <v>4.7569999999999997</v>
      </c>
      <c r="E167" s="708">
        <v>3.8380000000000001</v>
      </c>
      <c r="F167" s="708">
        <v>3.3260000000000001</v>
      </c>
      <c r="G167" s="708">
        <v>2.996</v>
      </c>
      <c r="H167" s="708">
        <v>2.7639999999999998</v>
      </c>
      <c r="I167" s="708">
        <v>2.5910000000000002</v>
      </c>
      <c r="J167" s="708">
        <v>2.456</v>
      </c>
      <c r="K167" s="709">
        <v>2.3479999999999999</v>
      </c>
      <c r="R167" s="1"/>
      <c r="S167" s="1"/>
      <c r="T167" s="1"/>
      <c r="U167" s="1"/>
      <c r="V167" s="1"/>
      <c r="W167" s="1"/>
      <c r="X167" s="1"/>
      <c r="Y167" s="1"/>
    </row>
    <row r="168" spans="1:25" ht="32.450000000000003" customHeight="1" x14ac:dyDescent="0.2">
      <c r="A168" s="706">
        <v>3</v>
      </c>
      <c r="B168" s="707">
        <v>10.128</v>
      </c>
      <c r="C168" s="708">
        <v>5.1429999999999998</v>
      </c>
      <c r="D168" s="708">
        <v>3.863</v>
      </c>
      <c r="E168" s="708">
        <v>3.2589999999999999</v>
      </c>
      <c r="F168" s="708">
        <v>2.9009999999999998</v>
      </c>
      <c r="G168" s="708">
        <v>2.661</v>
      </c>
      <c r="H168" s="708">
        <v>2.488</v>
      </c>
      <c r="I168" s="708">
        <v>2.355</v>
      </c>
      <c r="J168" s="708">
        <v>2.25</v>
      </c>
      <c r="K168" s="709">
        <v>2.165</v>
      </c>
      <c r="R168" s="1"/>
      <c r="S168" s="1"/>
      <c r="T168" s="1"/>
      <c r="U168" s="1"/>
      <c r="V168" s="1"/>
      <c r="W168" s="1"/>
      <c r="X168" s="1"/>
      <c r="Y168" s="1"/>
    </row>
    <row r="169" spans="1:25" ht="32.450000000000003" customHeight="1" x14ac:dyDescent="0.2">
      <c r="A169" s="706">
        <v>4</v>
      </c>
      <c r="B169" s="707">
        <v>7.7089999999999996</v>
      </c>
      <c r="C169" s="708">
        <v>4.4589999999999996</v>
      </c>
      <c r="D169" s="708">
        <v>3.49</v>
      </c>
      <c r="E169" s="708">
        <v>3.0070000000000001</v>
      </c>
      <c r="F169" s="708">
        <v>2.7109999999999999</v>
      </c>
      <c r="G169" s="708">
        <v>2.508</v>
      </c>
      <c r="H169" s="708">
        <v>2.359</v>
      </c>
      <c r="I169" s="708">
        <v>2.2440000000000002</v>
      </c>
      <c r="J169" s="708">
        <v>2.153</v>
      </c>
      <c r="K169" s="709">
        <v>2.077</v>
      </c>
      <c r="R169" s="1"/>
      <c r="S169" s="1"/>
      <c r="T169" s="1"/>
      <c r="U169" s="1"/>
      <c r="V169" s="1"/>
      <c r="W169" s="1"/>
      <c r="X169" s="1"/>
      <c r="Y169" s="1"/>
    </row>
    <row r="170" spans="1:25" ht="32.450000000000003" customHeight="1" x14ac:dyDescent="0.2">
      <c r="A170" s="706">
        <v>5</v>
      </c>
      <c r="B170" s="707">
        <v>6.6079999999999997</v>
      </c>
      <c r="C170" s="708">
        <v>4.1029999999999998</v>
      </c>
      <c r="D170" s="708">
        <v>3.2869999999999999</v>
      </c>
      <c r="E170" s="708">
        <v>2.8660000000000001</v>
      </c>
      <c r="F170" s="708">
        <v>2.6030000000000002</v>
      </c>
      <c r="G170" s="708">
        <v>2.4209999999999998</v>
      </c>
      <c r="H170" s="708">
        <v>2.2850000000000001</v>
      </c>
      <c r="I170" s="708">
        <v>2.1800000000000002</v>
      </c>
      <c r="J170" s="708">
        <v>2.0960000000000001</v>
      </c>
      <c r="K170" s="709">
        <v>2.0259999999999998</v>
      </c>
      <c r="R170" s="1"/>
      <c r="S170" s="1"/>
      <c r="T170" s="1"/>
      <c r="U170" s="1"/>
      <c r="V170" s="1"/>
      <c r="W170" s="1"/>
      <c r="X170" s="1"/>
      <c r="Y170" s="1"/>
    </row>
    <row r="171" spans="1:25" ht="32.450000000000003" customHeight="1" x14ac:dyDescent="0.2">
      <c r="A171" s="706">
        <v>6</v>
      </c>
      <c r="B171" s="707">
        <v>5.9870000000000001</v>
      </c>
      <c r="C171" s="708">
        <v>3.8849999999999998</v>
      </c>
      <c r="D171" s="708">
        <v>3.16</v>
      </c>
      <c r="E171" s="708">
        <v>2.7759999999999998</v>
      </c>
      <c r="F171" s="708">
        <v>2.5339999999999998</v>
      </c>
      <c r="G171" s="708">
        <v>2.3639999999999999</v>
      </c>
      <c r="H171" s="708">
        <v>2.2370000000000001</v>
      </c>
      <c r="I171" s="708">
        <v>2.1379999999999999</v>
      </c>
      <c r="J171" s="708">
        <v>2.0590000000000002</v>
      </c>
      <c r="K171" s="709">
        <v>1.9930000000000001</v>
      </c>
      <c r="R171" s="1"/>
      <c r="S171" s="1"/>
      <c r="T171" s="1"/>
      <c r="U171" s="1"/>
      <c r="V171" s="1"/>
      <c r="W171" s="1"/>
      <c r="X171" s="1"/>
      <c r="Y171" s="1"/>
    </row>
    <row r="172" spans="1:25" ht="32.450000000000003" customHeight="1" x14ac:dyDescent="0.2">
      <c r="A172" s="706">
        <v>7</v>
      </c>
      <c r="B172" s="707">
        <v>5.5910000000000002</v>
      </c>
      <c r="C172" s="708">
        <v>3.7389999999999999</v>
      </c>
      <c r="D172" s="708">
        <v>3.0720000000000001</v>
      </c>
      <c r="E172" s="708">
        <v>2.714</v>
      </c>
      <c r="F172" s="708">
        <v>2.4849999999999999</v>
      </c>
      <c r="G172" s="708">
        <v>2.3239999999999998</v>
      </c>
      <c r="H172" s="708">
        <v>2.2029999999999998</v>
      </c>
      <c r="I172" s="708">
        <v>2.109</v>
      </c>
      <c r="J172" s="708">
        <v>2.032</v>
      </c>
      <c r="K172" s="709">
        <v>1.9690000000000001</v>
      </c>
      <c r="R172" s="1"/>
      <c r="S172" s="1"/>
      <c r="T172" s="1"/>
      <c r="U172" s="1"/>
      <c r="V172" s="1"/>
      <c r="W172" s="1"/>
      <c r="X172" s="1"/>
      <c r="Y172" s="1"/>
    </row>
    <row r="173" spans="1:25" ht="32.450000000000003" customHeight="1" x14ac:dyDescent="0.2">
      <c r="A173" s="706">
        <v>8</v>
      </c>
      <c r="B173" s="707">
        <v>5.3179999999999996</v>
      </c>
      <c r="C173" s="708">
        <v>3.6339999999999999</v>
      </c>
      <c r="D173" s="708">
        <v>3.0089999999999999</v>
      </c>
      <c r="E173" s="708">
        <v>2.6680000000000001</v>
      </c>
      <c r="F173" s="708">
        <v>2.4489999999999998</v>
      </c>
      <c r="G173" s="708">
        <v>2.2949999999999999</v>
      </c>
      <c r="H173" s="708">
        <v>2.1779999999999999</v>
      </c>
      <c r="I173" s="708">
        <v>2.0870000000000002</v>
      </c>
      <c r="J173" s="708">
        <v>2.0129999999999999</v>
      </c>
      <c r="K173" s="709">
        <v>1.9510000000000001</v>
      </c>
      <c r="R173" s="1"/>
      <c r="S173" s="1"/>
      <c r="T173" s="1"/>
      <c r="U173" s="1"/>
      <c r="V173" s="1"/>
      <c r="W173" s="1"/>
      <c r="X173" s="1"/>
      <c r="Y173" s="1"/>
    </row>
    <row r="174" spans="1:25" ht="32.450000000000003" customHeight="1" x14ac:dyDescent="0.2">
      <c r="A174" s="706">
        <v>9</v>
      </c>
      <c r="B174" s="707">
        <v>5.117</v>
      </c>
      <c r="C174" s="708">
        <v>3.5550000000000002</v>
      </c>
      <c r="D174" s="708">
        <v>2.96</v>
      </c>
      <c r="E174" s="708">
        <v>2.6339999999999999</v>
      </c>
      <c r="F174" s="708">
        <v>2.4220000000000002</v>
      </c>
      <c r="G174" s="708">
        <v>2.2719999999999998</v>
      </c>
      <c r="H174" s="708">
        <v>2.1589999999999998</v>
      </c>
      <c r="I174" s="708">
        <v>2.0699999999999998</v>
      </c>
      <c r="J174" s="708">
        <v>1.998</v>
      </c>
      <c r="K174" s="709">
        <v>1.9379999999999999</v>
      </c>
      <c r="R174" s="1"/>
      <c r="S174" s="1"/>
      <c r="T174" s="1"/>
      <c r="U174" s="1"/>
      <c r="V174" s="1"/>
      <c r="W174" s="1"/>
      <c r="X174" s="1"/>
      <c r="Y174" s="1"/>
    </row>
    <row r="175" spans="1:25" ht="32.450000000000003" customHeight="1" x14ac:dyDescent="0.2">
      <c r="A175" s="706">
        <v>10</v>
      </c>
      <c r="B175" s="707">
        <v>4.9649999999999999</v>
      </c>
      <c r="C175" s="708">
        <v>3.4929999999999999</v>
      </c>
      <c r="D175" s="708">
        <v>2.9220000000000002</v>
      </c>
      <c r="E175" s="708">
        <v>2.6059999999999999</v>
      </c>
      <c r="F175" s="708">
        <v>2.4</v>
      </c>
      <c r="G175" s="708">
        <v>2.254</v>
      </c>
      <c r="H175" s="708">
        <v>2.1429999999999998</v>
      </c>
      <c r="I175" s="708">
        <v>2.056</v>
      </c>
      <c r="J175" s="708">
        <v>1.986</v>
      </c>
      <c r="K175" s="709">
        <v>1.927</v>
      </c>
      <c r="R175" s="1"/>
      <c r="S175" s="1"/>
      <c r="T175" s="1"/>
      <c r="U175" s="1"/>
      <c r="V175" s="1"/>
      <c r="W175" s="1"/>
      <c r="X175" s="1"/>
      <c r="Y175" s="1"/>
    </row>
    <row r="176" spans="1:25" ht="32.450000000000003" customHeight="1" x14ac:dyDescent="0.2">
      <c r="A176" s="706">
        <v>11</v>
      </c>
      <c r="B176" s="707">
        <v>4.8440000000000003</v>
      </c>
      <c r="C176" s="708">
        <v>3.4430000000000001</v>
      </c>
      <c r="D176" s="708">
        <v>2.8919999999999999</v>
      </c>
      <c r="E176" s="708">
        <v>2.5840000000000001</v>
      </c>
      <c r="F176" s="708">
        <v>2.383</v>
      </c>
      <c r="G176" s="708">
        <v>2.2389999999999999</v>
      </c>
      <c r="H176" s="708">
        <v>2.1309999999999998</v>
      </c>
      <c r="I176" s="708">
        <v>2.0449999999999999</v>
      </c>
      <c r="J176" s="708">
        <v>1.976</v>
      </c>
      <c r="K176" s="709">
        <v>1.9179999999999999</v>
      </c>
      <c r="R176" s="1"/>
      <c r="S176" s="1"/>
      <c r="T176" s="1"/>
      <c r="U176" s="1"/>
      <c r="V176" s="1"/>
      <c r="W176" s="1"/>
      <c r="X176" s="1"/>
      <c r="Y176" s="1"/>
    </row>
    <row r="177" spans="1:25" ht="32.450000000000003" customHeight="1" x14ac:dyDescent="0.2">
      <c r="A177" s="706">
        <v>12</v>
      </c>
      <c r="B177" s="707">
        <v>4.7469999999999999</v>
      </c>
      <c r="C177" s="708">
        <v>3.403</v>
      </c>
      <c r="D177" s="708">
        <v>2.8660000000000001</v>
      </c>
      <c r="E177" s="708">
        <v>2.5649999999999999</v>
      </c>
      <c r="F177" s="708">
        <v>2.3679999999999999</v>
      </c>
      <c r="G177" s="708">
        <v>2.2269999999999999</v>
      </c>
      <c r="H177" s="708">
        <v>2.121</v>
      </c>
      <c r="I177" s="708">
        <v>2.036</v>
      </c>
      <c r="J177" s="708">
        <v>1.968</v>
      </c>
      <c r="K177" s="709">
        <v>1.91</v>
      </c>
      <c r="R177" s="1"/>
      <c r="S177" s="1"/>
      <c r="T177" s="1"/>
      <c r="U177" s="1"/>
      <c r="V177" s="1"/>
      <c r="W177" s="1"/>
      <c r="X177" s="1"/>
      <c r="Y177" s="1"/>
    </row>
    <row r="178" spans="1:25" ht="32.450000000000003" customHeight="1" x14ac:dyDescent="0.2">
      <c r="A178" s="706">
        <v>13</v>
      </c>
      <c r="B178" s="707">
        <v>4.6669999999999998</v>
      </c>
      <c r="C178" s="708">
        <v>3.3690000000000002</v>
      </c>
      <c r="D178" s="708">
        <v>2.8450000000000002</v>
      </c>
      <c r="E178" s="708">
        <v>2.5499999999999998</v>
      </c>
      <c r="F178" s="708">
        <v>2.3559999999999999</v>
      </c>
      <c r="G178" s="708">
        <v>2.2170000000000001</v>
      </c>
      <c r="H178" s="708">
        <v>2.1120000000000001</v>
      </c>
      <c r="I178" s="708">
        <v>2.0289999999999999</v>
      </c>
      <c r="J178" s="708">
        <v>1.9610000000000001</v>
      </c>
      <c r="K178" s="709">
        <v>1.9039999999999999</v>
      </c>
      <c r="R178" s="1"/>
      <c r="S178" s="1"/>
      <c r="T178" s="1"/>
      <c r="U178" s="1"/>
      <c r="V178" s="1"/>
      <c r="W178" s="1"/>
      <c r="X178" s="1"/>
      <c r="Y178" s="1"/>
    </row>
    <row r="179" spans="1:25" ht="32.450000000000003" customHeight="1" x14ac:dyDescent="0.2">
      <c r="A179" s="706">
        <v>14</v>
      </c>
      <c r="B179" s="707">
        <v>4.5999999999999996</v>
      </c>
      <c r="C179" s="708">
        <v>3.34</v>
      </c>
      <c r="D179" s="708">
        <v>2.827</v>
      </c>
      <c r="E179" s="708">
        <v>2.5369999999999999</v>
      </c>
      <c r="F179" s="708">
        <v>2.3460000000000001</v>
      </c>
      <c r="G179" s="708">
        <v>2.2090000000000001</v>
      </c>
      <c r="H179" s="708">
        <v>2.1040000000000001</v>
      </c>
      <c r="I179" s="708">
        <v>2.0219999999999998</v>
      </c>
      <c r="J179" s="708">
        <v>1.9550000000000001</v>
      </c>
      <c r="K179" s="709">
        <v>1.899</v>
      </c>
      <c r="R179" s="1"/>
      <c r="S179" s="1"/>
      <c r="T179" s="1"/>
      <c r="U179" s="1"/>
      <c r="V179" s="1"/>
      <c r="W179" s="1"/>
      <c r="X179" s="1"/>
      <c r="Y179" s="1"/>
    </row>
    <row r="180" spans="1:25" ht="32.450000000000003" customHeight="1" x14ac:dyDescent="0.2">
      <c r="A180" s="706">
        <v>15</v>
      </c>
      <c r="B180" s="707">
        <v>4.5430000000000001</v>
      </c>
      <c r="C180" s="708">
        <v>3.3159999999999998</v>
      </c>
      <c r="D180" s="708">
        <v>2.8119999999999998</v>
      </c>
      <c r="E180" s="708">
        <v>2.5249999999999999</v>
      </c>
      <c r="F180" s="708">
        <v>2.3370000000000002</v>
      </c>
      <c r="G180" s="708">
        <v>2.2010000000000001</v>
      </c>
      <c r="H180" s="708">
        <v>2.0979999999999999</v>
      </c>
      <c r="I180" s="708">
        <v>2.016</v>
      </c>
      <c r="J180" s="708">
        <v>1.95</v>
      </c>
      <c r="K180" s="709">
        <v>1.8939999999999999</v>
      </c>
      <c r="R180" s="1"/>
      <c r="S180" s="1"/>
      <c r="T180" s="1"/>
      <c r="U180" s="1"/>
      <c r="V180" s="1"/>
      <c r="W180" s="1"/>
      <c r="X180" s="1"/>
      <c r="Y180" s="1"/>
    </row>
    <row r="181" spans="1:25" ht="32.450000000000003" customHeight="1" x14ac:dyDescent="0.2">
      <c r="A181" s="706">
        <v>16</v>
      </c>
      <c r="B181" s="707">
        <v>4.4939999999999998</v>
      </c>
      <c r="C181" s="708">
        <v>3.2949999999999999</v>
      </c>
      <c r="D181" s="708">
        <v>2.798</v>
      </c>
      <c r="E181" s="708">
        <v>2.5150000000000001</v>
      </c>
      <c r="F181" s="708">
        <v>2.3290000000000002</v>
      </c>
      <c r="G181" s="708">
        <v>2.1949999999999998</v>
      </c>
      <c r="H181" s="708">
        <v>2.0920000000000001</v>
      </c>
      <c r="I181" s="708">
        <v>2.0110000000000001</v>
      </c>
      <c r="J181" s="708">
        <v>1.9450000000000001</v>
      </c>
      <c r="K181" s="709">
        <v>1.89</v>
      </c>
      <c r="R181" s="1"/>
      <c r="S181" s="1"/>
      <c r="T181" s="1"/>
      <c r="U181" s="1"/>
      <c r="V181" s="1"/>
      <c r="W181" s="1"/>
      <c r="X181" s="1"/>
      <c r="Y181" s="1"/>
    </row>
    <row r="182" spans="1:25" ht="32.450000000000003" customHeight="1" x14ac:dyDescent="0.2">
      <c r="A182" s="706">
        <v>17</v>
      </c>
      <c r="B182" s="707">
        <v>4.4509999999999996</v>
      </c>
      <c r="C182" s="708">
        <v>3.2759999999999998</v>
      </c>
      <c r="D182" s="708">
        <v>2.786</v>
      </c>
      <c r="E182" s="708">
        <v>2.5070000000000001</v>
      </c>
      <c r="F182" s="708">
        <v>2.3220000000000001</v>
      </c>
      <c r="G182" s="708">
        <v>2.1890000000000001</v>
      </c>
      <c r="H182" s="708">
        <v>2.0870000000000002</v>
      </c>
      <c r="I182" s="708">
        <v>2.0070000000000001</v>
      </c>
      <c r="J182" s="708">
        <v>1.9419999999999999</v>
      </c>
      <c r="K182" s="709">
        <v>1.887</v>
      </c>
      <c r="R182" s="1"/>
      <c r="S182" s="1"/>
      <c r="T182" s="1"/>
      <c r="U182" s="1"/>
      <c r="V182" s="1"/>
      <c r="W182" s="1"/>
      <c r="X182" s="1"/>
      <c r="Y182" s="1"/>
    </row>
    <row r="183" spans="1:25" ht="32.450000000000003" customHeight="1" x14ac:dyDescent="0.2">
      <c r="A183" s="706">
        <v>18</v>
      </c>
      <c r="B183" s="707">
        <v>4.4139999999999997</v>
      </c>
      <c r="C183" s="708">
        <v>3.2589999999999999</v>
      </c>
      <c r="D183" s="708">
        <v>2.7759999999999998</v>
      </c>
      <c r="E183" s="708">
        <v>2.4990000000000001</v>
      </c>
      <c r="F183" s="708">
        <v>2.3159999999999998</v>
      </c>
      <c r="G183" s="708">
        <v>2.1840000000000002</v>
      </c>
      <c r="H183" s="708">
        <v>2.0830000000000002</v>
      </c>
      <c r="I183" s="708">
        <v>2.0030000000000001</v>
      </c>
      <c r="J183" s="708">
        <v>1.9379999999999999</v>
      </c>
      <c r="K183" s="709">
        <v>1.8839999999999999</v>
      </c>
      <c r="R183" s="1"/>
      <c r="S183" s="1"/>
      <c r="T183" s="1"/>
      <c r="U183" s="1"/>
      <c r="V183" s="1"/>
      <c r="W183" s="1"/>
      <c r="X183" s="1"/>
      <c r="Y183" s="1"/>
    </row>
    <row r="184" spans="1:25" ht="32.450000000000003" customHeight="1" x14ac:dyDescent="0.2">
      <c r="A184" s="706">
        <v>19</v>
      </c>
      <c r="B184" s="707">
        <v>4.3810000000000002</v>
      </c>
      <c r="C184" s="708">
        <v>3.2450000000000001</v>
      </c>
      <c r="D184" s="708">
        <v>2.766</v>
      </c>
      <c r="E184" s="708">
        <v>2.492</v>
      </c>
      <c r="F184" s="708">
        <v>2.31</v>
      </c>
      <c r="G184" s="708">
        <v>2.1789999999999998</v>
      </c>
      <c r="H184" s="708">
        <v>2.0790000000000002</v>
      </c>
      <c r="I184" s="708">
        <v>2</v>
      </c>
      <c r="J184" s="708">
        <v>1.9350000000000001</v>
      </c>
      <c r="K184" s="709">
        <v>1.881</v>
      </c>
      <c r="R184" s="1"/>
      <c r="S184" s="1"/>
      <c r="T184" s="1"/>
      <c r="U184" s="1"/>
      <c r="V184" s="1"/>
      <c r="W184" s="1"/>
      <c r="X184" s="1"/>
      <c r="Y184" s="1"/>
    </row>
    <row r="185" spans="1:25" ht="32.450000000000003" customHeight="1" x14ac:dyDescent="0.2">
      <c r="A185" s="706">
        <v>20</v>
      </c>
      <c r="B185" s="707">
        <v>4.351</v>
      </c>
      <c r="C185" s="708">
        <v>3.2320000000000002</v>
      </c>
      <c r="D185" s="708">
        <v>2.758</v>
      </c>
      <c r="E185" s="708">
        <v>2.4860000000000002</v>
      </c>
      <c r="F185" s="708">
        <v>2.3050000000000002</v>
      </c>
      <c r="G185" s="708">
        <v>2.1749999999999998</v>
      </c>
      <c r="H185" s="708">
        <v>2.0760000000000001</v>
      </c>
      <c r="I185" s="708">
        <v>1.9970000000000001</v>
      </c>
      <c r="J185" s="708">
        <v>1.9319999999999999</v>
      </c>
      <c r="K185" s="709">
        <v>1.8779999999999999</v>
      </c>
      <c r="R185" s="1"/>
      <c r="S185" s="1"/>
      <c r="T185" s="1"/>
      <c r="U185" s="1"/>
      <c r="V185" s="1"/>
      <c r="W185" s="1"/>
      <c r="X185" s="1"/>
      <c r="Y185" s="1"/>
    </row>
    <row r="186" spans="1:25" ht="32.450000000000003" customHeight="1" x14ac:dyDescent="0.2">
      <c r="A186" s="706">
        <v>30</v>
      </c>
      <c r="B186" s="707">
        <v>4.1710000000000003</v>
      </c>
      <c r="C186" s="708">
        <v>3.15</v>
      </c>
      <c r="D186" s="708">
        <v>2.706</v>
      </c>
      <c r="E186" s="708">
        <v>2.4470000000000001</v>
      </c>
      <c r="F186" s="708">
        <v>2.274</v>
      </c>
      <c r="G186" s="708">
        <v>2.149</v>
      </c>
      <c r="H186" s="708">
        <v>2.0529999999999999</v>
      </c>
      <c r="I186" s="708">
        <v>1.9770000000000001</v>
      </c>
      <c r="J186" s="708">
        <v>1.915</v>
      </c>
      <c r="K186" s="709">
        <v>1.8620000000000001</v>
      </c>
      <c r="R186" s="1"/>
      <c r="S186" s="1"/>
      <c r="T186" s="1"/>
      <c r="U186" s="1"/>
      <c r="V186" s="1"/>
      <c r="W186" s="1"/>
      <c r="X186" s="1"/>
      <c r="Y186" s="1"/>
    </row>
    <row r="187" spans="1:25" ht="32.450000000000003" customHeight="1" x14ac:dyDescent="0.2">
      <c r="A187" s="706">
        <v>40</v>
      </c>
      <c r="B187" s="707">
        <v>4.085</v>
      </c>
      <c r="C187" s="708">
        <v>3.1110000000000002</v>
      </c>
      <c r="D187" s="708">
        <v>2.68</v>
      </c>
      <c r="E187" s="708">
        <v>2.4279999999999999</v>
      </c>
      <c r="F187" s="708">
        <v>2.2589999999999999</v>
      </c>
      <c r="G187" s="708">
        <v>2.1360000000000001</v>
      </c>
      <c r="H187" s="708">
        <v>2.0419999999999998</v>
      </c>
      <c r="I187" s="708">
        <v>1.9670000000000001</v>
      </c>
      <c r="J187" s="708">
        <v>1.9059999999999999</v>
      </c>
      <c r="K187" s="709">
        <v>1.8540000000000001</v>
      </c>
      <c r="R187" s="1"/>
      <c r="S187" s="1"/>
      <c r="T187" s="1"/>
      <c r="U187" s="1"/>
      <c r="V187" s="1"/>
      <c r="W187" s="1"/>
      <c r="X187" s="1"/>
      <c r="Y187" s="1"/>
    </row>
    <row r="188" spans="1:25" ht="32.450000000000003" customHeight="1" x14ac:dyDescent="0.2">
      <c r="A188" s="706">
        <v>50</v>
      </c>
      <c r="B188" s="707">
        <v>4.0339999999999998</v>
      </c>
      <c r="C188" s="708">
        <v>3.0870000000000002</v>
      </c>
      <c r="D188" s="708">
        <v>2.665</v>
      </c>
      <c r="E188" s="708">
        <v>2.4169999999999998</v>
      </c>
      <c r="F188" s="708">
        <v>2.25</v>
      </c>
      <c r="G188" s="708">
        <v>2.129</v>
      </c>
      <c r="H188" s="708">
        <v>2.036</v>
      </c>
      <c r="I188" s="708">
        <v>1.962</v>
      </c>
      <c r="J188" s="708">
        <v>1.901</v>
      </c>
      <c r="K188" s="709">
        <v>1.85</v>
      </c>
      <c r="R188" s="1"/>
      <c r="S188" s="1"/>
      <c r="T188" s="1"/>
      <c r="U188" s="1"/>
      <c r="V188" s="1"/>
      <c r="W188" s="1"/>
      <c r="X188" s="1"/>
      <c r="Y188" s="1"/>
    </row>
    <row r="189" spans="1:25" ht="32.450000000000003" customHeight="1" x14ac:dyDescent="0.2">
      <c r="A189" s="706">
        <v>60</v>
      </c>
      <c r="B189" s="707">
        <v>4.0010000000000003</v>
      </c>
      <c r="C189" s="708">
        <v>3.0720000000000001</v>
      </c>
      <c r="D189" s="708">
        <v>2.6549999999999998</v>
      </c>
      <c r="E189" s="708">
        <v>2.4089999999999998</v>
      </c>
      <c r="F189" s="708">
        <v>2.2440000000000002</v>
      </c>
      <c r="G189" s="708">
        <v>2.1240000000000001</v>
      </c>
      <c r="H189" s="708">
        <v>2.0310000000000001</v>
      </c>
      <c r="I189" s="708">
        <v>1.958</v>
      </c>
      <c r="J189" s="708">
        <v>1.897</v>
      </c>
      <c r="K189" s="709">
        <v>1.8460000000000001</v>
      </c>
      <c r="R189" s="1"/>
      <c r="S189" s="1"/>
      <c r="T189" s="1"/>
      <c r="U189" s="1"/>
      <c r="V189" s="1"/>
      <c r="W189" s="1"/>
      <c r="X189" s="1"/>
      <c r="Y189" s="1"/>
    </row>
    <row r="190" spans="1:25" ht="32.450000000000003" customHeight="1" x14ac:dyDescent="0.2">
      <c r="A190" s="706">
        <v>70</v>
      </c>
      <c r="B190" s="707">
        <v>3.9780000000000002</v>
      </c>
      <c r="C190" s="708">
        <v>3.0609999999999999</v>
      </c>
      <c r="D190" s="708">
        <v>2.6480000000000001</v>
      </c>
      <c r="E190" s="708">
        <v>2.4039999999999999</v>
      </c>
      <c r="F190" s="708">
        <v>2.2400000000000002</v>
      </c>
      <c r="G190" s="708">
        <v>2.12</v>
      </c>
      <c r="H190" s="708">
        <v>2.028</v>
      </c>
      <c r="I190" s="708">
        <v>1.9550000000000001</v>
      </c>
      <c r="J190" s="708">
        <v>1.895</v>
      </c>
      <c r="K190" s="709">
        <v>1.8440000000000001</v>
      </c>
      <c r="R190" s="1"/>
      <c r="S190" s="1"/>
      <c r="T190" s="1"/>
      <c r="U190" s="1"/>
      <c r="V190" s="1"/>
      <c r="W190" s="1"/>
      <c r="X190" s="1"/>
      <c r="Y190" s="1"/>
    </row>
    <row r="191" spans="1:25" ht="32.450000000000003" customHeight="1" x14ac:dyDescent="0.2">
      <c r="A191" s="706">
        <v>80</v>
      </c>
      <c r="B191" s="708">
        <v>3.96</v>
      </c>
      <c r="C191" s="708">
        <v>3.0529999999999999</v>
      </c>
      <c r="D191" s="708">
        <v>2.6419999999999999</v>
      </c>
      <c r="E191" s="708">
        <v>2.4</v>
      </c>
      <c r="F191" s="708">
        <v>2.2370000000000001</v>
      </c>
      <c r="G191" s="708">
        <v>2.117</v>
      </c>
      <c r="H191" s="708">
        <v>2.0259999999999998</v>
      </c>
      <c r="I191" s="708">
        <v>1.9530000000000001</v>
      </c>
      <c r="J191" s="708">
        <v>1.893</v>
      </c>
      <c r="K191" s="709">
        <v>1.843</v>
      </c>
      <c r="R191" s="1"/>
      <c r="S191" s="1"/>
      <c r="T191" s="1"/>
      <c r="U191" s="1"/>
      <c r="V191" s="1"/>
      <c r="W191" s="1"/>
      <c r="X191" s="1"/>
      <c r="Y191" s="1"/>
    </row>
    <row r="192" spans="1:25" ht="32.450000000000003" customHeight="1" x14ac:dyDescent="0.2">
      <c r="A192" s="706">
        <v>90</v>
      </c>
      <c r="B192" s="707">
        <v>3.9470000000000001</v>
      </c>
      <c r="C192" s="708">
        <v>3.0459999999999998</v>
      </c>
      <c r="D192" s="708">
        <v>2.6379999999999999</v>
      </c>
      <c r="E192" s="708">
        <v>2.3969999999999998</v>
      </c>
      <c r="F192" s="708">
        <v>2.234</v>
      </c>
      <c r="G192" s="708">
        <v>2.1150000000000002</v>
      </c>
      <c r="H192" s="708">
        <v>2.024</v>
      </c>
      <c r="I192" s="708">
        <v>1.9510000000000001</v>
      </c>
      <c r="J192" s="708">
        <v>1.891</v>
      </c>
      <c r="K192" s="709">
        <v>1.841</v>
      </c>
      <c r="R192" s="1"/>
      <c r="S192" s="1"/>
      <c r="T192" s="1"/>
      <c r="U192" s="1"/>
      <c r="V192" s="1"/>
      <c r="W192" s="1"/>
      <c r="X192" s="1"/>
      <c r="Y192" s="1"/>
    </row>
    <row r="193" spans="1:25" ht="32.450000000000003" customHeight="1" x14ac:dyDescent="0.2">
      <c r="A193" s="706">
        <v>100</v>
      </c>
      <c r="B193" s="707">
        <v>3.9359999999999999</v>
      </c>
      <c r="C193" s="708">
        <v>3.0409999999999999</v>
      </c>
      <c r="D193" s="708">
        <v>2.6349999999999998</v>
      </c>
      <c r="E193" s="708">
        <v>2.3940000000000001</v>
      </c>
      <c r="F193" s="708">
        <v>2.2320000000000002</v>
      </c>
      <c r="G193" s="708">
        <v>2.1139999999999999</v>
      </c>
      <c r="H193" s="708">
        <v>2.0230000000000001</v>
      </c>
      <c r="I193" s="708">
        <v>1.95</v>
      </c>
      <c r="J193" s="708">
        <v>1.89</v>
      </c>
      <c r="K193" s="709">
        <v>1.84</v>
      </c>
      <c r="R193" s="1"/>
      <c r="S193" s="1"/>
      <c r="T193" s="1"/>
      <c r="U193" s="1"/>
      <c r="V193" s="1"/>
      <c r="W193" s="1"/>
      <c r="X193" s="1"/>
      <c r="Y193" s="1"/>
    </row>
    <row r="194" spans="1:25" ht="32.450000000000003" customHeight="1" thickBot="1" x14ac:dyDescent="0.25">
      <c r="A194" s="641" t="s">
        <v>524</v>
      </c>
      <c r="B194" s="710">
        <v>3.8410000000000002</v>
      </c>
      <c r="C194" s="711">
        <v>2.996</v>
      </c>
      <c r="D194" s="711">
        <v>2.605</v>
      </c>
      <c r="E194" s="711">
        <v>2.3719999999999999</v>
      </c>
      <c r="F194" s="711">
        <v>2.214</v>
      </c>
      <c r="G194" s="711">
        <v>2.0990000000000002</v>
      </c>
      <c r="H194" s="711">
        <v>2.0099999999999998</v>
      </c>
      <c r="I194" s="711">
        <v>1.9379999999999999</v>
      </c>
      <c r="J194" s="711">
        <v>1.88</v>
      </c>
      <c r="K194" s="712">
        <v>1.831</v>
      </c>
      <c r="R194" s="1"/>
      <c r="S194" s="1"/>
      <c r="T194" s="1"/>
      <c r="U194" s="1"/>
      <c r="V194" s="1"/>
      <c r="W194" s="1"/>
      <c r="X194" s="1"/>
      <c r="Y194" s="1"/>
    </row>
  </sheetData>
  <sheetProtection algorithmName="SHA-512" hashValue="CIh/GXvQ/TOastlpVMHnqRz9D5sPmREDA4qPFzBrDUNhMeArpIBPnPInpzi3Y2zgQ2Ez4tMKzefl537OaDx1cg==" saltValue="dTamv3zIJZrmgEaj/JY1Mw==" spinCount="100000" sheet="1" objects="1" scenarios="1"/>
  <dataConsolidate>
    <dataRefs count="2">
      <dataRef ref="C5:D7" sheet="DATOS DE LOS PATRONES " r:id="rId1"/>
      <dataRef ref="K5:L7" sheet="DATOS DE LOS PATRONES " r:id="rId2"/>
    </dataRefs>
  </dataConsolidate>
  <mergeCells count="153">
    <mergeCell ref="H5:H6"/>
    <mergeCell ref="B53:E53"/>
    <mergeCell ref="I140:K140"/>
    <mergeCell ref="E125:F125"/>
    <mergeCell ref="E124:F124"/>
    <mergeCell ref="G53:L53"/>
    <mergeCell ref="F86:J86"/>
    <mergeCell ref="A94:C94"/>
    <mergeCell ref="A95:C95"/>
    <mergeCell ref="D94:E94"/>
    <mergeCell ref="A76:B76"/>
    <mergeCell ref="A75:B75"/>
    <mergeCell ref="K87:K88"/>
    <mergeCell ref="L87:L88"/>
    <mergeCell ref="B65:C65"/>
    <mergeCell ref="A67:L67"/>
    <mergeCell ref="G14:H14"/>
    <mergeCell ref="A90:C90"/>
    <mergeCell ref="C80:E80"/>
    <mergeCell ref="F87:J87"/>
    <mergeCell ref="D18:D19"/>
    <mergeCell ref="F18:F19"/>
    <mergeCell ref="G13:H13"/>
    <mergeCell ref="B17:J17"/>
    <mergeCell ref="N52:O52"/>
    <mergeCell ref="M42:O49"/>
    <mergeCell ref="N55:O55"/>
    <mergeCell ref="M161:P166"/>
    <mergeCell ref="B164:K164"/>
    <mergeCell ref="A143:P143"/>
    <mergeCell ref="A145:F145"/>
    <mergeCell ref="I145:P145"/>
    <mergeCell ref="I146:P148"/>
    <mergeCell ref="I150:I151"/>
    <mergeCell ref="J150:L150"/>
    <mergeCell ref="P150:Q152"/>
    <mergeCell ref="J158:K158"/>
    <mergeCell ref="N54:O54"/>
    <mergeCell ref="D95:E95"/>
    <mergeCell ref="A89:C89"/>
    <mergeCell ref="A88:C88"/>
    <mergeCell ref="D90:E90"/>
    <mergeCell ref="D88:E88"/>
    <mergeCell ref="D89:E89"/>
    <mergeCell ref="C81:E81"/>
    <mergeCell ref="C82:E82"/>
    <mergeCell ref="F69:J69"/>
    <mergeCell ref="M87:M88"/>
    <mergeCell ref="B92:E93"/>
    <mergeCell ref="I141:K141"/>
    <mergeCell ref="B140:D140"/>
    <mergeCell ref="K120:M120"/>
    <mergeCell ref="B141:D141"/>
    <mergeCell ref="F100:J100"/>
    <mergeCell ref="F103:J103"/>
    <mergeCell ref="L96:P96"/>
    <mergeCell ref="B138:P138"/>
    <mergeCell ref="J107:J108"/>
    <mergeCell ref="B123:P123"/>
    <mergeCell ref="B107:B108"/>
    <mergeCell ref="K28:K29"/>
    <mergeCell ref="D20:F21"/>
    <mergeCell ref="D23:F23"/>
    <mergeCell ref="C24:D24"/>
    <mergeCell ref="H19:H20"/>
    <mergeCell ref="B31:I31"/>
    <mergeCell ref="B29:C29"/>
    <mergeCell ref="B21:C23"/>
    <mergeCell ref="J19:J20"/>
    <mergeCell ref="A163:K163"/>
    <mergeCell ref="A1:C3"/>
    <mergeCell ref="C136:D136"/>
    <mergeCell ref="L107:L108"/>
    <mergeCell ref="D1:Q3"/>
    <mergeCell ref="G8:J8"/>
    <mergeCell ref="I9:J9"/>
    <mergeCell ref="G9:H9"/>
    <mergeCell ref="B8:E8"/>
    <mergeCell ref="B9:C9"/>
    <mergeCell ref="B10:C10"/>
    <mergeCell ref="B11:C11"/>
    <mergeCell ref="G10:H10"/>
    <mergeCell ref="I10:J10"/>
    <mergeCell ref="I11:J11"/>
    <mergeCell ref="D10:E10"/>
    <mergeCell ref="D11:E11"/>
    <mergeCell ref="D9:E9"/>
    <mergeCell ref="B12:C12"/>
    <mergeCell ref="G12:H12"/>
    <mergeCell ref="B14:C14"/>
    <mergeCell ref="A80:B80"/>
    <mergeCell ref="I19:I20"/>
    <mergeCell ref="N87:N88"/>
    <mergeCell ref="A73:B73"/>
    <mergeCell ref="A74:B74"/>
    <mergeCell ref="A72:E72"/>
    <mergeCell ref="H107:H108"/>
    <mergeCell ref="I107:I108"/>
    <mergeCell ref="M41:O41"/>
    <mergeCell ref="B27:K27"/>
    <mergeCell ref="B18:C20"/>
    <mergeCell ref="D15:E15"/>
    <mergeCell ref="B64:C64"/>
    <mergeCell ref="B52:L52"/>
    <mergeCell ref="B61:I61"/>
    <mergeCell ref="B41:K41"/>
    <mergeCell ref="F72:J72"/>
    <mergeCell ref="B42:J42"/>
    <mergeCell ref="B33:G33"/>
    <mergeCell ref="F29:G29"/>
    <mergeCell ref="K31:L31"/>
    <mergeCell ref="G28:H28"/>
    <mergeCell ref="C99:E99"/>
    <mergeCell ref="F93:J93"/>
    <mergeCell ref="G18:J18"/>
    <mergeCell ref="O87:O88"/>
    <mergeCell ref="M107:M108"/>
    <mergeCell ref="G11:H11"/>
    <mergeCell ref="B15:C15"/>
    <mergeCell ref="I12:J12"/>
    <mergeCell ref="D12:E12"/>
    <mergeCell ref="D13:E13"/>
    <mergeCell ref="D14:E14"/>
    <mergeCell ref="B13:C13"/>
    <mergeCell ref="I13:J13"/>
    <mergeCell ref="G19:G20"/>
    <mergeCell ref="I14:J14"/>
    <mergeCell ref="G15:H15"/>
    <mergeCell ref="I15:J15"/>
    <mergeCell ref="J159:K159"/>
    <mergeCell ref="A81:B81"/>
    <mergeCell ref="C75:E75"/>
    <mergeCell ref="F84:J84"/>
    <mergeCell ref="C85:E85"/>
    <mergeCell ref="A82:B82"/>
    <mergeCell ref="F79:J79"/>
    <mergeCell ref="C83:E83"/>
    <mergeCell ref="A77:B77"/>
    <mergeCell ref="C76:E76"/>
    <mergeCell ref="C77:E77"/>
    <mergeCell ref="C78:E78"/>
    <mergeCell ref="F107:F108"/>
    <mergeCell ref="K118:M118"/>
    <mergeCell ref="C107:C108"/>
    <mergeCell ref="D107:D108"/>
    <mergeCell ref="F98:J98"/>
    <mergeCell ref="B105:P105"/>
    <mergeCell ref="P87:P88"/>
    <mergeCell ref="A96:C96"/>
    <mergeCell ref="D96:E96"/>
    <mergeCell ref="B97:E97"/>
    <mergeCell ref="A91:C91"/>
    <mergeCell ref="D91:E91"/>
  </mergeCells>
  <conditionalFormatting sqref="K120">
    <cfRule type="cellIs" dxfId="3" priority="6" operator="greaterThan">
      <formula>$K$119</formula>
    </cfRule>
  </conditionalFormatting>
  <conditionalFormatting sqref="K154">
    <cfRule type="cellIs" dxfId="2" priority="1" operator="greaterThan">
      <formula>$K$158</formula>
    </cfRule>
    <cfRule type="cellIs" dxfId="1" priority="2" operator="lessThanOrEqual">
      <formula>$K$158</formula>
    </cfRule>
  </conditionalFormatting>
  <conditionalFormatting sqref="M73:M82">
    <cfRule type="cellIs" dxfId="0" priority="12" operator="equal">
      <formula>MAX($M$73:$M$82)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r:id="rId3"/>
  <headerFooter>
    <oddFooter>&amp;RRT03-F34 Vr.10 (2022-07-10)
Página &amp;P de 3</oddFooter>
  </headerFooter>
  <rowBreaks count="2" manualBreakCount="2">
    <brk id="50" max="16383" man="1"/>
    <brk id="104" max="16" man="1"/>
  </rowBreaks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1307" yWindow="694" count="10">
        <x14:dataValidation type="list" allowBlank="1" showInputMessage="1" showErrorMessage="1" xr:uid="{00000000-0002-0000-0100-000000000000}">
          <x14:formula1>
            <xm:f>'DATOS # '!$C$9:$C$11</xm:f>
          </x14:formula1>
          <xm:sqref>H5:H6</xm:sqref>
        </x14:dataValidation>
        <x14:dataValidation type="list" allowBlank="1" showInputMessage="1" showErrorMessage="1" xr:uid="{00000000-0002-0000-0100-000001000000}">
          <x14:formula1>
            <xm:f>'DATOS # '!$U$28:$U$48</xm:f>
          </x14:formula1>
          <xm:sqref>E19</xm:sqref>
        </x14:dataValidation>
        <x14:dataValidation type="list" allowBlank="1" showInputMessage="1" showErrorMessage="1" xr:uid="{00000000-0002-0000-0100-000002000000}">
          <x14:formula1>
            <xm:f>'DATOS # '!$V$28:$V$55</xm:f>
          </x14:formula1>
          <xm:sqref>D22:F22</xm:sqref>
        </x14:dataValidation>
        <x14:dataValidation type="list" allowBlank="1" showInputMessage="1" showErrorMessage="1" xr:uid="{00000000-0002-0000-0100-000003000000}">
          <x14:formula1>
            <xm:f>'DATOS # '!$H$196:$H$201</xm:f>
          </x14:formula1>
          <xm:sqref>K28:K29</xm:sqref>
        </x14:dataValidation>
        <x14:dataValidation type="list" allowBlank="1" showInputMessage="1" showErrorMessage="1" xr:uid="{00000000-0002-0000-0100-000004000000}">
          <x14:formula1>
            <xm:f>'DATOS # '!$B$190:$B$193</xm:f>
          </x14:formula1>
          <xm:sqref>N52:O52</xm:sqref>
        </x14:dataValidation>
        <x14:dataValidation type="list" allowBlank="1" showInputMessage="1" showErrorMessage="1" xr:uid="{00000000-0002-0000-0100-000005000000}">
          <x14:formula1>
            <xm:f>'DATOS # '!$B$38:$B$127</xm:f>
          </x14:formula1>
          <xm:sqref>K8</xm:sqref>
        </x14:dataValidation>
        <x14:dataValidation type="list" allowBlank="1" showInputMessage="1" showErrorMessage="1" xr:uid="{00000000-0002-0000-0100-000006000000}">
          <x14:formula1>
            <xm:f>'DATOS # '!$C$38:$C$127</xm:f>
          </x14:formula1>
          <xm:sqref>E24</xm:sqref>
        </x14:dataValidation>
        <x14:dataValidation type="list" allowBlank="1" showInputMessage="1" showErrorMessage="1" xr:uid="{00000000-0002-0000-0100-000007000000}">
          <x14:formula1>
            <xm:f>'DATOS # '!$C$28:$C$127</xm:f>
          </x14:formula1>
          <xm:sqref>K21:K24</xm:sqref>
        </x14:dataValidation>
        <x14:dataValidation type="list" errorStyle="warning" allowBlank="1" showInputMessage="1" showErrorMessage="1" errorTitle="Verifique Cargas" error="Verifique caraga Max del IPFNA" promptTitle="Carga Maxima" prompt="Para carga de 8 200 g uasando M-016 tenga en cuenta las siguientes pesas 200 g sin punto, 2 kg sin punto, 1 kg y 5 kg._x000a__x000a__x000a__x000a_" xr:uid="{00000000-0002-0000-0100-000008000000}">
          <x14:formula1>
            <xm:f>'DATOS # '!$C$28:$C$127</xm:f>
          </x14:formula1>
          <xm:sqref>K25</xm:sqref>
        </x14:dataValidation>
        <x14:dataValidation type="list" errorStyle="warning" allowBlank="1" showInputMessage="1" showErrorMessage="1" promptTitle="Verificar División de escala" prompt="Tener en cuenta IPFNA al calibrar" xr:uid="{00000000-0002-0000-0100-000009000000}">
          <x14:formula1>
            <xm:f>'DATOS # '!$B$18:$B$23</xm:f>
          </x14:formula1>
          <xm:sqref>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Q11"/>
  <sheetViews>
    <sheetView showGridLines="0" view="pageBreakPreview" zoomScale="70" zoomScaleNormal="80" zoomScaleSheetLayoutView="70" workbookViewId="0">
      <selection activeCell="F15" sqref="F15"/>
    </sheetView>
  </sheetViews>
  <sheetFormatPr baseColWidth="10" defaultColWidth="11.42578125" defaultRowHeight="15" x14ac:dyDescent="0.25"/>
  <cols>
    <col min="3" max="9" width="15.5703125" customWidth="1"/>
    <col min="10" max="10" width="17.42578125" customWidth="1"/>
    <col min="11" max="13" width="18.7109375" customWidth="1"/>
    <col min="14" max="14" width="17.42578125" customWidth="1"/>
  </cols>
  <sheetData>
    <row r="1" spans="1:17" s="261" customFormat="1" ht="30" customHeight="1" x14ac:dyDescent="0.2">
      <c r="A1" s="1248"/>
      <c r="B1" s="1248"/>
      <c r="C1" s="1248"/>
      <c r="D1" s="1248"/>
      <c r="E1" s="1251" t="s">
        <v>0</v>
      </c>
      <c r="F1" s="1251"/>
      <c r="G1" s="1251"/>
      <c r="H1" s="1251"/>
      <c r="I1" s="1251"/>
      <c r="J1" s="1251"/>
      <c r="K1" s="1251"/>
      <c r="L1" s="1251"/>
      <c r="M1" s="1251"/>
      <c r="N1" s="1251"/>
      <c r="O1" s="1251"/>
      <c r="P1" s="1251"/>
      <c r="Q1" s="1251"/>
    </row>
    <row r="2" spans="1:17" s="261" customFormat="1" ht="30" customHeight="1" x14ac:dyDescent="0.2">
      <c r="A2" s="1249"/>
      <c r="B2" s="1249"/>
      <c r="C2" s="1249"/>
      <c r="D2" s="1249"/>
      <c r="E2" s="1252"/>
      <c r="F2" s="1252"/>
      <c r="G2" s="1252"/>
      <c r="H2" s="1252"/>
      <c r="I2" s="1252"/>
      <c r="J2" s="1252"/>
      <c r="K2" s="1252"/>
      <c r="L2" s="1252"/>
      <c r="M2" s="1252"/>
      <c r="N2" s="1252"/>
      <c r="O2" s="1252"/>
      <c r="P2" s="1252"/>
      <c r="Q2" s="1252"/>
    </row>
    <row r="3" spans="1:17" s="261" customFormat="1" ht="30" customHeight="1" x14ac:dyDescent="0.2">
      <c r="A3" s="1250"/>
      <c r="B3" s="1250"/>
      <c r="C3" s="1250"/>
      <c r="D3" s="1250"/>
      <c r="E3" s="1253"/>
      <c r="F3" s="1253"/>
      <c r="G3" s="1253"/>
      <c r="H3" s="1253"/>
      <c r="I3" s="1253"/>
      <c r="J3" s="1253"/>
      <c r="K3" s="1253"/>
      <c r="L3" s="1253"/>
      <c r="M3" s="1253"/>
      <c r="N3" s="1253"/>
      <c r="O3" s="1253"/>
      <c r="P3" s="1253"/>
      <c r="Q3" s="1253"/>
    </row>
    <row r="5" spans="1:17" ht="15.75" thickBot="1" x14ac:dyDescent="0.3"/>
    <row r="6" spans="1:17" ht="63.75" thickBot="1" x14ac:dyDescent="0.3">
      <c r="A6" s="1254" t="s">
        <v>325</v>
      </c>
      <c r="B6" s="1255"/>
      <c r="C6" s="308" t="s">
        <v>326</v>
      </c>
      <c r="D6" s="309" t="s">
        <v>525</v>
      </c>
      <c r="E6" s="345" t="s">
        <v>526</v>
      </c>
      <c r="F6" s="345" t="s">
        <v>527</v>
      </c>
      <c r="G6" s="346" t="s">
        <v>528</v>
      </c>
      <c r="H6" s="346" t="s">
        <v>529</v>
      </c>
      <c r="I6" s="346" t="s">
        <v>529</v>
      </c>
      <c r="J6" s="346" t="s">
        <v>530</v>
      </c>
      <c r="K6" s="346" t="s">
        <v>531</v>
      </c>
      <c r="L6" s="346" t="s">
        <v>532</v>
      </c>
      <c r="M6" s="346" t="s">
        <v>533</v>
      </c>
      <c r="N6" s="347" t="s">
        <v>534</v>
      </c>
      <c r="P6" s="314">
        <v>1</v>
      </c>
      <c r="Q6" s="314">
        <v>-1</v>
      </c>
    </row>
    <row r="7" spans="1:17" ht="30" customHeight="1" x14ac:dyDescent="0.25">
      <c r="A7" s="1256" t="s">
        <v>328</v>
      </c>
      <c r="B7" s="1257"/>
      <c r="C7" s="310" t="e">
        <f>#REF!</f>
        <v>#REF!</v>
      </c>
      <c r="D7" s="355">
        <v>1</v>
      </c>
      <c r="E7" s="357" t="e">
        <f>'RT03-F34 #'!K89</f>
        <v>#N/A</v>
      </c>
      <c r="F7" s="339" t="e">
        <f>#REF!</f>
        <v>#REF!</v>
      </c>
      <c r="G7" s="339" t="e">
        <f>#REF!</f>
        <v>#REF!</v>
      </c>
      <c r="H7" s="311">
        <v>-1</v>
      </c>
      <c r="I7" s="311">
        <v>1</v>
      </c>
      <c r="J7" s="312" t="e">
        <f>_xlfn.NORM.S.DIST(M7,1)</f>
        <v>#REF!</v>
      </c>
      <c r="K7" s="349" t="e">
        <f>1-J7</f>
        <v>#REF!</v>
      </c>
      <c r="L7" s="339" t="e">
        <f>ABS(F7)</f>
        <v>#REF!</v>
      </c>
      <c r="M7" s="354" t="e">
        <f>(I7-L7)/(G7/2)</f>
        <v>#REF!</v>
      </c>
      <c r="N7" s="350" t="e">
        <f>IF(AND(J7&gt;=97.5%,K7&lt;=2.5%),"SI","NO")</f>
        <v>#REF!</v>
      </c>
      <c r="P7" s="314">
        <v>1</v>
      </c>
      <c r="Q7" s="314">
        <v>-1</v>
      </c>
    </row>
    <row r="8" spans="1:17" ht="30" customHeight="1" thickBot="1" x14ac:dyDescent="0.3">
      <c r="A8" s="1258" t="s">
        <v>330</v>
      </c>
      <c r="B8" s="1259"/>
      <c r="C8" s="313" t="e">
        <f>#REF!</f>
        <v>#REF!</v>
      </c>
      <c r="D8" s="356">
        <v>2</v>
      </c>
      <c r="E8" s="358" t="e">
        <f>'RT03-F34 #'!K90</f>
        <v>#N/A</v>
      </c>
      <c r="F8" s="336" t="e">
        <f>#REF!</f>
        <v>#REF!</v>
      </c>
      <c r="G8" s="336" t="e">
        <f>#REF!</f>
        <v>#REF!</v>
      </c>
      <c r="H8" s="314">
        <v>-1</v>
      </c>
      <c r="I8" s="314">
        <v>1</v>
      </c>
      <c r="J8" s="337" t="e">
        <f t="shared" ref="J8:J11" si="0">_xlfn.NORM.S.DIST(M8,1)</f>
        <v>#REF!</v>
      </c>
      <c r="K8" s="348" t="e">
        <f t="shared" ref="K8:K11" si="1">1-J8</f>
        <v>#REF!</v>
      </c>
      <c r="L8" s="336" t="e">
        <f t="shared" ref="L8:L11" si="2">ABS(F8)</f>
        <v>#REF!</v>
      </c>
      <c r="M8" s="338" t="e">
        <f t="shared" ref="M8:M11" si="3">(I8-L8)/(G8/2)</f>
        <v>#REF!</v>
      </c>
      <c r="N8" s="351" t="e">
        <f>IF(AND(J8&gt;=97.5%,K8&lt;=2.5%),"SI","NO")</f>
        <v>#REF!</v>
      </c>
      <c r="P8" s="314">
        <v>1</v>
      </c>
      <c r="Q8" s="314">
        <v>-1</v>
      </c>
    </row>
    <row r="9" spans="1:17" ht="30" customHeight="1" x14ac:dyDescent="0.25">
      <c r="E9" s="358" t="e">
        <f>'RT03-F34 #'!K91</f>
        <v>#N/A</v>
      </c>
      <c r="F9" s="336" t="e">
        <f>#REF!</f>
        <v>#REF!</v>
      </c>
      <c r="G9" s="342" t="e">
        <f>#REF!</f>
        <v>#REF!</v>
      </c>
      <c r="H9" s="314">
        <v>-1</v>
      </c>
      <c r="I9" s="314">
        <v>1</v>
      </c>
      <c r="J9" s="337" t="e">
        <f t="shared" si="0"/>
        <v>#REF!</v>
      </c>
      <c r="K9" s="348" t="e">
        <f t="shared" si="1"/>
        <v>#REF!</v>
      </c>
      <c r="L9" s="336" t="e">
        <f t="shared" si="2"/>
        <v>#REF!</v>
      </c>
      <c r="M9" s="338" t="e">
        <f t="shared" si="3"/>
        <v>#REF!</v>
      </c>
      <c r="N9" s="351" t="e">
        <f>IF(AND(J9&gt;=97.5%,K9&lt;=2.5%),"SI","NO")</f>
        <v>#REF!</v>
      </c>
      <c r="P9" s="314">
        <v>1</v>
      </c>
      <c r="Q9" s="314">
        <v>-1</v>
      </c>
    </row>
    <row r="10" spans="1:17" ht="30" customHeight="1" x14ac:dyDescent="0.25">
      <c r="E10" s="358" t="e">
        <f>'RT03-F34 #'!K92</f>
        <v>#N/A</v>
      </c>
      <c r="F10" s="336" t="e">
        <f>#REF!</f>
        <v>#REF!</v>
      </c>
      <c r="G10" s="342" t="e">
        <f>#REF!</f>
        <v>#REF!</v>
      </c>
      <c r="H10" s="314">
        <v>-2</v>
      </c>
      <c r="I10" s="314">
        <v>2</v>
      </c>
      <c r="J10" s="337" t="e">
        <f t="shared" si="0"/>
        <v>#REF!</v>
      </c>
      <c r="K10" s="348" t="e">
        <f t="shared" si="1"/>
        <v>#REF!</v>
      </c>
      <c r="L10" s="336" t="e">
        <f t="shared" si="2"/>
        <v>#REF!</v>
      </c>
      <c r="M10" s="338" t="e">
        <f t="shared" si="3"/>
        <v>#REF!</v>
      </c>
      <c r="N10" s="351" t="e">
        <f>IF(AND(J10&gt;=97.5%,K10&lt;=2.5%),"SI","NO")</f>
        <v>#REF!</v>
      </c>
      <c r="P10" s="314">
        <v>2</v>
      </c>
      <c r="Q10" s="314">
        <v>-2</v>
      </c>
    </row>
    <row r="11" spans="1:17" ht="30" customHeight="1" thickBot="1" x14ac:dyDescent="0.3">
      <c r="E11" s="359" t="e">
        <f>'RT03-F34 #'!K93</f>
        <v>#N/A</v>
      </c>
      <c r="F11" s="340" t="e">
        <f>#REF!</f>
        <v>#REF!</v>
      </c>
      <c r="G11" s="343" t="e">
        <f>#REF!</f>
        <v>#REF!</v>
      </c>
      <c r="H11" s="315">
        <v>-2</v>
      </c>
      <c r="I11" s="315">
        <v>2</v>
      </c>
      <c r="J11" s="341" t="e">
        <f t="shared" si="0"/>
        <v>#REF!</v>
      </c>
      <c r="K11" s="352" t="e">
        <f t="shared" si="1"/>
        <v>#REF!</v>
      </c>
      <c r="L11" s="340" t="e">
        <f t="shared" si="2"/>
        <v>#REF!</v>
      </c>
      <c r="M11" s="344" t="e">
        <f t="shared" si="3"/>
        <v>#REF!</v>
      </c>
      <c r="N11" s="353" t="e">
        <f>IF(AND(J11&gt;=97.5%,K11&lt;=2.5%),"SI","NO")</f>
        <v>#REF!</v>
      </c>
      <c r="P11" s="314">
        <v>2</v>
      </c>
      <c r="Q11" s="314">
        <v>-2</v>
      </c>
    </row>
  </sheetData>
  <sheetProtection algorithmName="SHA-512" hashValue="RGv5WJBbj8srG++uGe9aFNzJ2+P1394X0jZdypbCpNRioZUz6aLFFappUXu06WJ3aPnNhM21/8s5TogEZ9fAZA==" saltValue="LcJH+MulLsa7xWrTZW9GLg==" spinCount="100000" sheet="1" objects="1" scenarios="1"/>
  <mergeCells count="5">
    <mergeCell ref="A1:D3"/>
    <mergeCell ref="E1:Q3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Footer>&amp;RRT03-F34 Vr.10 (2022-06-30)
Página &amp;P de 3</oddFooter>
  </headerFooter>
  <colBreaks count="1" manualBreakCount="1">
    <brk id="1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C81F78A526C244A20286E28DE88E1E" ma:contentTypeVersion="16" ma:contentTypeDescription="Crear nuevo documento." ma:contentTypeScope="" ma:versionID="d713bc3fed25671c6e33f379168f2f9c">
  <xsd:schema xmlns:xsd="http://www.w3.org/2001/XMLSchema" xmlns:xs="http://www.w3.org/2001/XMLSchema" xmlns:p="http://schemas.microsoft.com/office/2006/metadata/properties" xmlns:ns2="28630930-25e8-416c-ab3b-3d3f0eb88142" xmlns:ns3="41a0376a-4913-43ea-bca5-b9259b3c65a0" targetNamespace="http://schemas.microsoft.com/office/2006/metadata/properties" ma:root="true" ma:fieldsID="dc3d2e819729881705429c641e717553" ns2:_="" ns3:_="">
    <xsd:import namespace="28630930-25e8-416c-ab3b-3d3f0eb88142"/>
    <xsd:import namespace="41a0376a-4913-43ea-bca5-b9259b3c65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30930-25e8-416c-ab3b-3d3f0eb88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33d804f7-ca46-4700-9da3-18b907134a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0376a-4913-43ea-bca5-b9259b3c65a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976e945-0c06-40c7-9ba4-a80e2af427e4}" ma:internalName="TaxCatchAll" ma:showField="CatchAllData" ma:web="41a0376a-4913-43ea-bca5-b9259b3c65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1a0376a-4913-43ea-bca5-b9259b3c65a0">
      <UserInfo>
        <DisplayName/>
        <AccountId xsi:nil="true"/>
        <AccountType/>
      </UserInfo>
    </SharedWithUsers>
    <lcf76f155ced4ddcb4097134ff3c332f xmlns="28630930-25e8-416c-ab3b-3d3f0eb88142">
      <Terms xmlns="http://schemas.microsoft.com/office/infopath/2007/PartnerControls"/>
    </lcf76f155ced4ddcb4097134ff3c332f>
    <TaxCatchAll xmlns="41a0376a-4913-43ea-bca5-b9259b3c65a0" xsi:nil="true"/>
  </documentManagement>
</p:properties>
</file>

<file path=customXml/itemProps1.xml><?xml version="1.0" encoding="utf-8"?>
<ds:datastoreItem xmlns:ds="http://schemas.openxmlformats.org/officeDocument/2006/customXml" ds:itemID="{3DA682DC-0B03-4B67-90C9-0594853A84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30930-25e8-416c-ab3b-3d3f0eb88142"/>
    <ds:schemaRef ds:uri="41a0376a-4913-43ea-bca5-b9259b3c65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A190C3-01B0-4827-8BEC-D82F8A72F1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A11067-4ABF-4D41-91E7-BA02F8A4EABA}">
  <ds:schemaRefs>
    <ds:schemaRef ds:uri="28630930-25e8-416c-ab3b-3d3f0eb88142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41a0376a-4913-43ea-bca5-b9259b3c65a0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DATOS # </vt:lpstr>
      <vt:lpstr>RT03-F34 #</vt:lpstr>
      <vt:lpstr>Pc # </vt:lpstr>
      <vt:lpstr>'DATOS # '!Área_de_impresión</vt:lpstr>
      <vt:lpstr>'Pc # '!Área_de_impresión</vt:lpstr>
      <vt:lpstr>'RT03-F34 #'!Área_de_impresión</vt:lpstr>
      <vt:lpstr>'DATOS # '!Print_Area</vt:lpstr>
      <vt:lpstr>'RT03-F34 #'!Print_Area</vt:lpstr>
      <vt:lpstr>'RT03-F34 #'!Print_Titles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Elvis Aguirre Romero</dc:creator>
  <cp:keywords/>
  <dc:description/>
  <cp:lastModifiedBy>Miguel Torres</cp:lastModifiedBy>
  <cp:revision/>
  <dcterms:created xsi:type="dcterms:W3CDTF">2016-06-28T20:23:39Z</dcterms:created>
  <dcterms:modified xsi:type="dcterms:W3CDTF">2022-07-12T15:07:24Z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525624</vt:i4>
  </property>
  <property fmtid="{D5CDD505-2E9C-101B-9397-08002B2CF9AE}" pid="3" name="ContentTypeId">
    <vt:lpwstr>0x010100B1C81F78A526C244A20286E28DE88E1E</vt:lpwstr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MediaServiceImageTags">
    <vt:lpwstr/>
  </property>
</Properties>
</file>