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4.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E:\Enero a Junio 2023\Documentos\RT03\RT03-F52_V3\"/>
    </mc:Choice>
  </mc:AlternateContent>
  <workbookProtection workbookPassword="E9FB" lockStructure="1"/>
  <bookViews>
    <workbookView xWindow="-105" yWindow="-105" windowWidth="23250" windowHeight="12450" tabRatio="791" firstSheet="1" activeTab="1"/>
  </bookViews>
  <sheets>
    <sheet name="DATOS ¬" sheetId="22" state="hidden" r:id="rId1"/>
    <sheet name="RT03-F52 ¬ " sheetId="30" r:id="rId2"/>
    <sheet name="Despues de ajuste RT03-F52 ¬" sheetId="41" r:id="rId3"/>
    <sheet name="PC ¬" sheetId="42" r:id="rId4"/>
    <sheet name="Máx. y Mín. ¬" sheetId="43" r:id="rId5"/>
    <sheet name="CALIBRACIÓN DE LA ESCALA ¬" sheetId="44" r:id="rId6"/>
    <sheet name="CMC ¬" sheetId="45" r:id="rId7"/>
    <sheet name="RT03-F53 ¬" sheetId="46" state="hidden" r:id="rId8"/>
    <sheet name="RT03-F54 ¬" sheetId="48" state="hidden" r:id="rId9"/>
  </sheets>
  <definedNames>
    <definedName name="aCinco" localSheetId="1">'RT03-F52 ¬ '!#REF!</definedName>
    <definedName name="aCuatro" localSheetId="1">'RT03-F52 ¬ '!$C$77</definedName>
    <definedName name="aDos" localSheetId="1">'RT03-F52 ¬ '!$C$75</definedName>
    <definedName name="_xlnm.Print_Area" localSheetId="0">'DATOS ¬'!$A$1:$AI$249</definedName>
    <definedName name="_xlnm.Print_Area" localSheetId="4">'Máx. y Mín. ¬'!$A$1:$M$28</definedName>
    <definedName name="_xlnm.Print_Area" localSheetId="1">'RT03-F52 ¬ '!$A$1:$AC$214</definedName>
    <definedName name="_xlnm.Print_Area" localSheetId="7">'RT03-F53 ¬'!$A$1:$L$152</definedName>
    <definedName name="_xlnm.Print_Area" localSheetId="8">'RT03-F54 ¬'!$A$1:$L$153</definedName>
    <definedName name="aTres" localSheetId="1">'RT03-F52 ¬ '!$C$76</definedName>
    <definedName name="aUno" localSheetId="1">'RT03-F52 ¬ '!#REF!</definedName>
    <definedName name="kCero" localSheetId="1">'RT03-F52 ¬ '!#REF!</definedName>
    <definedName name="kDos" localSheetId="1">'RT03-F52 ¬ '!#REF!</definedName>
    <definedName name="kUno" localSheetId="1">'RT03-F52 ¬ '!#REF!</definedName>
    <definedName name="p" localSheetId="1">'RT03-F52 ¬ '!$C$51</definedName>
    <definedName name="Pcero" localSheetId="1">'RT03-F52 ¬ '!#REF!</definedName>
    <definedName name="sCero" localSheetId="1">'RT03-F52 ¬ '!$C$89</definedName>
    <definedName name="sUno" localSheetId="1">'RT03-F52 ¬ '!$C$90</definedName>
    <definedName name="t" localSheetId="1">'RT03-F52 ¬ '!$C$47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9" i="41" l="1"/>
  <c r="S183" i="22" l="1"/>
  <c r="F124" i="22"/>
  <c r="M68" i="22" s="1"/>
  <c r="V223" i="22" s="1"/>
  <c r="E13" i="41"/>
  <c r="D161" i="41" s="1"/>
  <c r="G156" i="41"/>
  <c r="B124" i="22"/>
  <c r="N124" i="22"/>
  <c r="O124" i="22"/>
  <c r="L124" i="22"/>
  <c r="M124" i="22"/>
  <c r="J124" i="22"/>
  <c r="K124" i="22"/>
  <c r="M40" i="22"/>
  <c r="N40" i="22"/>
  <c r="D88" i="41"/>
  <c r="C7" i="41"/>
  <c r="B169" i="41" s="1"/>
  <c r="B88" i="41"/>
  <c r="C88" i="41"/>
  <c r="B173" i="41" s="1"/>
  <c r="D176" i="41" s="1"/>
  <c r="H176" i="41" s="1"/>
  <c r="J15" i="22"/>
  <c r="C48" i="41"/>
  <c r="B171" i="41" s="1"/>
  <c r="D172" i="41" s="1"/>
  <c r="C44" i="41"/>
  <c r="B183" i="41" s="1"/>
  <c r="M191" i="22"/>
  <c r="B86" i="41" s="1"/>
  <c r="N191" i="22"/>
  <c r="C17" i="41"/>
  <c r="C20" i="41"/>
  <c r="C18" i="41"/>
  <c r="C13" i="41"/>
  <c r="G13" i="41"/>
  <c r="I13" i="41"/>
  <c r="C14" i="41"/>
  <c r="E14" i="41"/>
  <c r="G14" i="41"/>
  <c r="I14" i="41"/>
  <c r="C15" i="41"/>
  <c r="E15" i="41"/>
  <c r="G15" i="41"/>
  <c r="I15" i="41"/>
  <c r="C16" i="41"/>
  <c r="E16" i="41"/>
  <c r="G16" i="41"/>
  <c r="I16" i="41"/>
  <c r="E17" i="41"/>
  <c r="G17" i="41"/>
  <c r="I17" i="41"/>
  <c r="E18" i="41"/>
  <c r="G18" i="41"/>
  <c r="I18" i="41"/>
  <c r="C19" i="41"/>
  <c r="E19" i="41"/>
  <c r="G19" i="41"/>
  <c r="I19" i="41"/>
  <c r="E20" i="41"/>
  <c r="G20" i="41"/>
  <c r="I20" i="41"/>
  <c r="C21" i="41"/>
  <c r="E21" i="41"/>
  <c r="G21" i="41"/>
  <c r="I21" i="41"/>
  <c r="C22" i="41"/>
  <c r="E22" i="41"/>
  <c r="G22" i="41"/>
  <c r="I22" i="41"/>
  <c r="O16" i="41"/>
  <c r="G157" i="41" s="1"/>
  <c r="S194" i="22"/>
  <c r="Q18" i="41"/>
  <c r="G158" i="41"/>
  <c r="G159" i="41"/>
  <c r="H159" i="41" s="1"/>
  <c r="G161" i="41"/>
  <c r="B92" i="41"/>
  <c r="C92" i="41"/>
  <c r="D92" i="41"/>
  <c r="O14" i="41"/>
  <c r="G162" i="41" s="1"/>
  <c r="G163" i="41"/>
  <c r="H164" i="41"/>
  <c r="L164" i="41" s="1"/>
  <c r="N164" i="41" s="1"/>
  <c r="G115" i="41"/>
  <c r="G119" i="41"/>
  <c r="G123" i="41"/>
  <c r="G116" i="41"/>
  <c r="H116" i="41"/>
  <c r="G120" i="41"/>
  <c r="H120" i="41" s="1"/>
  <c r="G124" i="41"/>
  <c r="H124" i="41"/>
  <c r="C10" i="41"/>
  <c r="C11" i="41"/>
  <c r="C12" i="41"/>
  <c r="C8" i="41"/>
  <c r="E8" i="41"/>
  <c r="D141" i="41" s="1"/>
  <c r="H141" i="41" s="1"/>
  <c r="G8" i="41"/>
  <c r="I8" i="41"/>
  <c r="C9" i="41"/>
  <c r="E9" i="41"/>
  <c r="G9" i="41"/>
  <c r="I9" i="41"/>
  <c r="E10" i="41"/>
  <c r="G10" i="41"/>
  <c r="I10" i="41"/>
  <c r="E11" i="41"/>
  <c r="G11" i="41"/>
  <c r="I11" i="41"/>
  <c r="M11" i="41" s="1"/>
  <c r="E12" i="41"/>
  <c r="G12" i="41"/>
  <c r="I12" i="41"/>
  <c r="D175" i="41" s="1"/>
  <c r="O8" i="41"/>
  <c r="G140" i="41" s="1"/>
  <c r="G141" i="41"/>
  <c r="P41" i="22"/>
  <c r="R41" i="22" s="1"/>
  <c r="K11" i="41"/>
  <c r="G142" i="41"/>
  <c r="E32" i="41"/>
  <c r="D137" i="41" s="1"/>
  <c r="H137" i="41" s="1"/>
  <c r="L137" i="41" s="1"/>
  <c r="N137" i="41" s="1"/>
  <c r="G137" i="41"/>
  <c r="I32" i="41"/>
  <c r="D138" i="41" s="1"/>
  <c r="H138" i="41" s="1"/>
  <c r="L138" i="41" s="1"/>
  <c r="N138" i="41" s="1"/>
  <c r="G145" i="41"/>
  <c r="G146" i="41"/>
  <c r="H146" i="41" s="1"/>
  <c r="C45" i="41"/>
  <c r="D180" i="41" s="1"/>
  <c r="K15" i="22"/>
  <c r="C49" i="41"/>
  <c r="G180" i="41"/>
  <c r="O7" i="41"/>
  <c r="G170" i="41"/>
  <c r="H170" i="41" s="1"/>
  <c r="G172" i="41"/>
  <c r="D174" i="41"/>
  <c r="H174" i="41" s="1"/>
  <c r="G174" i="41"/>
  <c r="G175" i="41"/>
  <c r="H175" i="41"/>
  <c r="G176" i="41"/>
  <c r="G177" i="41"/>
  <c r="G179" i="41"/>
  <c r="G181" i="41"/>
  <c r="H181" i="41" s="1"/>
  <c r="L181" i="41" s="1"/>
  <c r="G178" i="41"/>
  <c r="O156" i="41"/>
  <c r="O157" i="41"/>
  <c r="O158" i="41"/>
  <c r="O159" i="41"/>
  <c r="O161" i="41"/>
  <c r="O162" i="41"/>
  <c r="O163" i="41"/>
  <c r="P164" i="41"/>
  <c r="Q164" i="41" s="1"/>
  <c r="O164" i="41"/>
  <c r="O166" i="41"/>
  <c r="O168" i="41"/>
  <c r="O170" i="41"/>
  <c r="O172" i="41"/>
  <c r="O174" i="41"/>
  <c r="O175" i="41"/>
  <c r="O176" i="41"/>
  <c r="O177" i="41"/>
  <c r="O178" i="41"/>
  <c r="O180" i="41"/>
  <c r="O181" i="41"/>
  <c r="O182" i="41"/>
  <c r="C45" i="30"/>
  <c r="B11" i="42" s="1"/>
  <c r="B12" i="42" s="1"/>
  <c r="B13" i="42" s="1"/>
  <c r="A9" i="42" s="1"/>
  <c r="E13" i="30"/>
  <c r="D161" i="30" s="1"/>
  <c r="G156" i="30"/>
  <c r="C7" i="30"/>
  <c r="B169" i="30" s="1"/>
  <c r="B88" i="30"/>
  <c r="B173" i="30" s="1"/>
  <c r="D176" i="30" s="1"/>
  <c r="C88" i="30"/>
  <c r="D88" i="30"/>
  <c r="C48" i="30"/>
  <c r="B171" i="30" s="1"/>
  <c r="D172" i="30" s="1"/>
  <c r="C44" i="30"/>
  <c r="B86" i="30"/>
  <c r="C86" i="30"/>
  <c r="D86" i="30"/>
  <c r="C17" i="30"/>
  <c r="C20" i="30"/>
  <c r="C18" i="30"/>
  <c r="C13" i="30"/>
  <c r="G13" i="30"/>
  <c r="I13" i="30"/>
  <c r="C14" i="30"/>
  <c r="E14" i="30"/>
  <c r="G14" i="30"/>
  <c r="I14" i="30"/>
  <c r="C15" i="30"/>
  <c r="E15" i="30"/>
  <c r="G15" i="30"/>
  <c r="I15" i="30"/>
  <c r="C16" i="30"/>
  <c r="E16" i="30"/>
  <c r="G16" i="30"/>
  <c r="I16" i="30"/>
  <c r="E17" i="30"/>
  <c r="G17" i="30"/>
  <c r="I17" i="30"/>
  <c r="E18" i="30"/>
  <c r="G18" i="30"/>
  <c r="I18" i="30"/>
  <c r="C19" i="30"/>
  <c r="E19" i="30"/>
  <c r="G19" i="30"/>
  <c r="I19" i="30"/>
  <c r="E20" i="30"/>
  <c r="G20" i="30"/>
  <c r="I20" i="30"/>
  <c r="C21" i="30"/>
  <c r="E21" i="30"/>
  <c r="G21" i="30"/>
  <c r="I21" i="30"/>
  <c r="C22" i="30"/>
  <c r="Q221" i="22" s="1"/>
  <c r="V221" i="22" s="1"/>
  <c r="E22" i="30"/>
  <c r="G22" i="30"/>
  <c r="I22" i="30"/>
  <c r="O16" i="30"/>
  <c r="G157" i="30" s="1"/>
  <c r="Q18" i="30"/>
  <c r="G158" i="30"/>
  <c r="G159" i="30"/>
  <c r="H159" i="30" s="1"/>
  <c r="G161" i="30"/>
  <c r="B92" i="30"/>
  <c r="B94" i="30" s="1"/>
  <c r="C92" i="30"/>
  <c r="D92" i="30"/>
  <c r="O14" i="30"/>
  <c r="G162" i="30" s="1"/>
  <c r="G163" i="30"/>
  <c r="H164" i="30"/>
  <c r="L164" i="30" s="1"/>
  <c r="G115" i="30"/>
  <c r="G119" i="30"/>
  <c r="G123" i="30"/>
  <c r="G116" i="30"/>
  <c r="H116" i="30"/>
  <c r="G120" i="30"/>
  <c r="H120" i="30" s="1"/>
  <c r="G124" i="30"/>
  <c r="H124" i="30"/>
  <c r="C10" i="30"/>
  <c r="C11" i="30"/>
  <c r="C12" i="30"/>
  <c r="C8" i="30"/>
  <c r="E8" i="30"/>
  <c r="D141" i="30" s="1"/>
  <c r="G8" i="30"/>
  <c r="I8" i="30"/>
  <c r="C9" i="30"/>
  <c r="E9" i="30"/>
  <c r="G9" i="30"/>
  <c r="I9" i="30"/>
  <c r="E10" i="30"/>
  <c r="G10" i="30"/>
  <c r="I10" i="30"/>
  <c r="E11" i="30"/>
  <c r="G11" i="30"/>
  <c r="I11" i="30"/>
  <c r="E12" i="30"/>
  <c r="G12" i="30"/>
  <c r="I12" i="30"/>
  <c r="D175" i="30" s="1"/>
  <c r="O8" i="30"/>
  <c r="G140" i="30" s="1"/>
  <c r="G141" i="30"/>
  <c r="K11" i="30"/>
  <c r="G142" i="30"/>
  <c r="E32" i="30"/>
  <c r="D137" i="30" s="1"/>
  <c r="G137" i="30"/>
  <c r="I32" i="30"/>
  <c r="D138" i="30" s="1"/>
  <c r="H138" i="30" s="1"/>
  <c r="L138" i="30" s="1"/>
  <c r="N138" i="30" s="1"/>
  <c r="G145" i="30"/>
  <c r="G146" i="30"/>
  <c r="H146" i="30" s="1"/>
  <c r="C49" i="30"/>
  <c r="G180" i="30"/>
  <c r="O7" i="30"/>
  <c r="G170" i="30" s="1"/>
  <c r="H170" i="30" s="1"/>
  <c r="G172" i="30"/>
  <c r="G174" i="30"/>
  <c r="G176" i="30"/>
  <c r="G177" i="30"/>
  <c r="G179" i="30"/>
  <c r="G181" i="30"/>
  <c r="H181" i="30" s="1"/>
  <c r="L181" i="30" s="1"/>
  <c r="G178" i="30"/>
  <c r="O156" i="30"/>
  <c r="O157" i="30"/>
  <c r="O158" i="30"/>
  <c r="O159" i="30"/>
  <c r="O161" i="30"/>
  <c r="O162" i="30"/>
  <c r="O163" i="30"/>
  <c r="O164" i="30"/>
  <c r="O166" i="30"/>
  <c r="O168" i="30"/>
  <c r="O170" i="30"/>
  <c r="O172" i="30"/>
  <c r="O174" i="30"/>
  <c r="O175" i="30"/>
  <c r="O176" i="30"/>
  <c r="O177" i="30"/>
  <c r="O178" i="30"/>
  <c r="O180" i="30"/>
  <c r="O181" i="30"/>
  <c r="O182" i="30"/>
  <c r="V137" i="22"/>
  <c r="S137" i="22"/>
  <c r="P137" i="22"/>
  <c r="V136" i="22"/>
  <c r="S136" i="22"/>
  <c r="P136" i="22"/>
  <c r="V135" i="22"/>
  <c r="S135" i="22"/>
  <c r="P135" i="22"/>
  <c r="V133" i="22"/>
  <c r="W133" i="22" s="1"/>
  <c r="S133" i="22"/>
  <c r="P133" i="22"/>
  <c r="V134" i="22"/>
  <c r="S134" i="22"/>
  <c r="P134" i="22"/>
  <c r="P57" i="22"/>
  <c r="R57" i="22"/>
  <c r="P58" i="22"/>
  <c r="R58" i="22"/>
  <c r="P59" i="22"/>
  <c r="R59" i="22"/>
  <c r="P60" i="22"/>
  <c r="R60" i="22"/>
  <c r="P56" i="22"/>
  <c r="R56" i="22"/>
  <c r="P51" i="22"/>
  <c r="R51" i="22"/>
  <c r="P52" i="22"/>
  <c r="R52" i="22"/>
  <c r="P53" i="22"/>
  <c r="R53" i="22"/>
  <c r="P54" i="22"/>
  <c r="R54" i="22"/>
  <c r="P50" i="22"/>
  <c r="R50" i="22"/>
  <c r="P48" i="22"/>
  <c r="R48" i="22"/>
  <c r="P47" i="22"/>
  <c r="R47" i="22"/>
  <c r="P46" i="22"/>
  <c r="R46" i="22"/>
  <c r="P45" i="22"/>
  <c r="R45" i="22"/>
  <c r="P44" i="22"/>
  <c r="R44" i="22"/>
  <c r="P42" i="22"/>
  <c r="R42" i="22"/>
  <c r="P40" i="22"/>
  <c r="R40" i="22"/>
  <c r="P39" i="22"/>
  <c r="R39" i="22"/>
  <c r="P38" i="22"/>
  <c r="R38" i="22"/>
  <c r="J245" i="22"/>
  <c r="E59" i="41"/>
  <c r="E64" i="41" s="1"/>
  <c r="D59" i="41"/>
  <c r="D59" i="30"/>
  <c r="C59" i="41"/>
  <c r="C63" i="41" s="1"/>
  <c r="C59" i="30"/>
  <c r="C63" i="30" s="1"/>
  <c r="B59" i="30"/>
  <c r="K222" i="22"/>
  <c r="K221" i="22"/>
  <c r="K220" i="22"/>
  <c r="K219" i="22"/>
  <c r="K218" i="22"/>
  <c r="K217" i="22"/>
  <c r="J236" i="22"/>
  <c r="I236" i="22"/>
  <c r="K236" i="22"/>
  <c r="J235" i="22"/>
  <c r="J234" i="22"/>
  <c r="J232" i="22"/>
  <c r="Z143" i="22"/>
  <c r="AA143" i="22" s="1"/>
  <c r="T143" i="22"/>
  <c r="W143" i="22"/>
  <c r="Z144" i="22"/>
  <c r="AA144" i="22" s="1"/>
  <c r="Z145" i="22"/>
  <c r="Z146" i="22"/>
  <c r="Z147" i="22"/>
  <c r="Z142" i="22"/>
  <c r="T144" i="22"/>
  <c r="T145" i="22"/>
  <c r="W145" i="22"/>
  <c r="AA145" i="22"/>
  <c r="T146" i="22"/>
  <c r="T147" i="22"/>
  <c r="T142" i="22"/>
  <c r="W142" i="22"/>
  <c r="W144" i="22"/>
  <c r="W146" i="22"/>
  <c r="AA146" i="22"/>
  <c r="W147" i="22"/>
  <c r="M44" i="22"/>
  <c r="M38" i="22"/>
  <c r="H149" i="48"/>
  <c r="B149" i="48"/>
  <c r="H148" i="48"/>
  <c r="B148" i="48"/>
  <c r="C101" i="48"/>
  <c r="I85" i="48"/>
  <c r="G85" i="48"/>
  <c r="E85" i="48"/>
  <c r="D85" i="48"/>
  <c r="A85" i="48"/>
  <c r="E84" i="48"/>
  <c r="A84" i="48"/>
  <c r="A83" i="48"/>
  <c r="A82" i="48"/>
  <c r="L7" i="43"/>
  <c r="H59" i="48"/>
  <c r="A91" i="48" s="1"/>
  <c r="E27" i="48"/>
  <c r="A25" i="48"/>
  <c r="E19" i="48"/>
  <c r="E17" i="48"/>
  <c r="E16" i="48"/>
  <c r="E15" i="48"/>
  <c r="J10" i="48"/>
  <c r="D10" i="48"/>
  <c r="D8" i="48"/>
  <c r="D7" i="48"/>
  <c r="D6" i="48"/>
  <c r="H59" i="46"/>
  <c r="A91" i="46" s="1"/>
  <c r="E19" i="46"/>
  <c r="A98" i="48"/>
  <c r="I235" i="22"/>
  <c r="K235" i="22"/>
  <c r="B4" i="42"/>
  <c r="C4" i="42" s="1"/>
  <c r="I85" i="46"/>
  <c r="G85" i="46"/>
  <c r="E84" i="46"/>
  <c r="E85" i="46"/>
  <c r="D85" i="46"/>
  <c r="A83" i="46"/>
  <c r="A84" i="46"/>
  <c r="A85" i="46"/>
  <c r="T223" i="22"/>
  <c r="G84" i="48" s="1"/>
  <c r="Q223" i="22"/>
  <c r="D84" i="48" s="1"/>
  <c r="V222" i="22"/>
  <c r="I83" i="46" s="1"/>
  <c r="T222" i="22"/>
  <c r="G83" i="46" s="1"/>
  <c r="Q222" i="22"/>
  <c r="R222" i="22" s="1"/>
  <c r="H148" i="46"/>
  <c r="H147" i="46"/>
  <c r="B148" i="46"/>
  <c r="B147" i="46"/>
  <c r="A82" i="46"/>
  <c r="E27" i="46"/>
  <c r="A25" i="46"/>
  <c r="E17" i="46"/>
  <c r="E16" i="46"/>
  <c r="E15" i="46"/>
  <c r="J10" i="46"/>
  <c r="D10" i="46"/>
  <c r="D8" i="46"/>
  <c r="D7" i="46"/>
  <c r="D6" i="46"/>
  <c r="C101" i="46"/>
  <c r="F20" i="44"/>
  <c r="F19" i="44"/>
  <c r="C21" i="44" s="1"/>
  <c r="W18" i="44"/>
  <c r="D44" i="44" s="1"/>
  <c r="L21" i="44"/>
  <c r="L20" i="44"/>
  <c r="L19" i="44"/>
  <c r="D12" i="44"/>
  <c r="K30" i="44" s="1"/>
  <c r="K32" i="44" s="1"/>
  <c r="B12" i="44"/>
  <c r="H12" i="44" s="1"/>
  <c r="I12" i="44" s="1"/>
  <c r="K7" i="44"/>
  <c r="B3" i="44"/>
  <c r="D3" i="44"/>
  <c r="G3" i="44"/>
  <c r="J3" i="44"/>
  <c r="P3" i="44"/>
  <c r="G47" i="44"/>
  <c r="J46" i="44"/>
  <c r="G46" i="44"/>
  <c r="J45" i="44"/>
  <c r="I45" i="44"/>
  <c r="I46" i="44" s="1"/>
  <c r="G45" i="44"/>
  <c r="I44" i="44"/>
  <c r="G44" i="44"/>
  <c r="I43" i="44"/>
  <c r="K21" i="44"/>
  <c r="J21" i="44"/>
  <c r="I20" i="44"/>
  <c r="J19" i="44" s="1"/>
  <c r="K20" i="44" s="1"/>
  <c r="I19" i="44"/>
  <c r="K22" i="44"/>
  <c r="B9" i="43"/>
  <c r="H9" i="43" s="1"/>
  <c r="K7" i="43"/>
  <c r="I7" i="43"/>
  <c r="E7" i="43"/>
  <c r="C7" i="43"/>
  <c r="O146" i="41"/>
  <c r="O145" i="41"/>
  <c r="O144" i="41"/>
  <c r="O142" i="41"/>
  <c r="O141" i="41"/>
  <c r="O140" i="41"/>
  <c r="O138" i="41"/>
  <c r="O137" i="41"/>
  <c r="O136" i="41"/>
  <c r="O124" i="41"/>
  <c r="O123" i="41"/>
  <c r="O122" i="41"/>
  <c r="O120" i="41"/>
  <c r="O119" i="41"/>
  <c r="O118" i="41"/>
  <c r="O116" i="41"/>
  <c r="O115" i="41"/>
  <c r="O114" i="41"/>
  <c r="O112" i="41"/>
  <c r="C55" i="41"/>
  <c r="C51" i="41"/>
  <c r="C50" i="41"/>
  <c r="D45" i="41"/>
  <c r="C43" i="41"/>
  <c r="C42" i="41"/>
  <c r="C41" i="41"/>
  <c r="P37" i="41"/>
  <c r="O37" i="41"/>
  <c r="I37" i="41"/>
  <c r="K37" i="41" s="1"/>
  <c r="M37" i="41" s="1"/>
  <c r="G37" i="41"/>
  <c r="E37" i="41"/>
  <c r="C37" i="41"/>
  <c r="B37" i="41"/>
  <c r="P36" i="41"/>
  <c r="O36" i="41"/>
  <c r="I36" i="41"/>
  <c r="G36" i="41"/>
  <c r="E36" i="41"/>
  <c r="C36" i="41"/>
  <c r="B36" i="41"/>
  <c r="R35" i="41"/>
  <c r="Q35" i="41"/>
  <c r="R34" i="41"/>
  <c r="Q34" i="41"/>
  <c r="P34" i="41"/>
  <c r="O34" i="41"/>
  <c r="I34" i="41"/>
  <c r="G34" i="41"/>
  <c r="E34" i="41"/>
  <c r="C34" i="41"/>
  <c r="B34" i="41"/>
  <c r="P33" i="41"/>
  <c r="O33" i="41"/>
  <c r="K33" i="41"/>
  <c r="M33" i="41" s="1"/>
  <c r="I33" i="41"/>
  <c r="G33" i="41"/>
  <c r="E33" i="41"/>
  <c r="C33" i="41"/>
  <c r="B33" i="41"/>
  <c r="P32" i="41"/>
  <c r="O32" i="41"/>
  <c r="G32" i="41"/>
  <c r="C32" i="41"/>
  <c r="B32" i="41"/>
  <c r="P22" i="41"/>
  <c r="O22" i="41"/>
  <c r="B22" i="41"/>
  <c r="P21" i="41"/>
  <c r="O21" i="41"/>
  <c r="B21" i="41"/>
  <c r="P20" i="41"/>
  <c r="O20" i="41"/>
  <c r="B20" i="41"/>
  <c r="P19" i="41"/>
  <c r="O19" i="41"/>
  <c r="B19" i="41"/>
  <c r="P18" i="41"/>
  <c r="O18" i="41"/>
  <c r="B18" i="41"/>
  <c r="P17" i="41"/>
  <c r="O17" i="41"/>
  <c r="B17" i="41"/>
  <c r="P16" i="41"/>
  <c r="B16" i="41"/>
  <c r="P15" i="41"/>
  <c r="O15" i="41"/>
  <c r="B15" i="41"/>
  <c r="P14" i="41"/>
  <c r="B14" i="41"/>
  <c r="P13" i="41"/>
  <c r="O13" i="41"/>
  <c r="B13" i="41"/>
  <c r="P12" i="41"/>
  <c r="O12" i="41"/>
  <c r="B12" i="41"/>
  <c r="P11" i="41"/>
  <c r="O11" i="41"/>
  <c r="B11" i="41"/>
  <c r="P10" i="41"/>
  <c r="O10" i="41"/>
  <c r="B10" i="41"/>
  <c r="P9" i="41"/>
  <c r="O9" i="41"/>
  <c r="B9" i="41"/>
  <c r="P8" i="41"/>
  <c r="B8" i="41"/>
  <c r="P7" i="41"/>
  <c r="K7" i="41"/>
  <c r="I7" i="41"/>
  <c r="M7" i="41" s="1"/>
  <c r="G7" i="41"/>
  <c r="E7" i="41"/>
  <c r="B7" i="41"/>
  <c r="P3" i="41"/>
  <c r="M3" i="41"/>
  <c r="J3" i="41"/>
  <c r="G3" i="41"/>
  <c r="D3" i="41"/>
  <c r="B3" i="41"/>
  <c r="K34" i="41"/>
  <c r="M34" i="41"/>
  <c r="AA147" i="22"/>
  <c r="G83" i="48"/>
  <c r="K36" i="41"/>
  <c r="M36" i="41"/>
  <c r="O128" i="22"/>
  <c r="N128" i="22"/>
  <c r="M128" i="22"/>
  <c r="L128" i="22"/>
  <c r="K128" i="22"/>
  <c r="J128" i="22"/>
  <c r="O127" i="22"/>
  <c r="N127" i="22"/>
  <c r="M127" i="22"/>
  <c r="L127" i="22"/>
  <c r="K127" i="22"/>
  <c r="J127" i="22"/>
  <c r="O126" i="22"/>
  <c r="N126" i="22"/>
  <c r="M126" i="22"/>
  <c r="L126" i="22"/>
  <c r="K126" i="22"/>
  <c r="J126" i="22"/>
  <c r="O125" i="22"/>
  <c r="N125" i="22"/>
  <c r="M125" i="22"/>
  <c r="L125" i="22"/>
  <c r="K125" i="22"/>
  <c r="J125" i="22"/>
  <c r="F128" i="22"/>
  <c r="M112" i="22" s="1"/>
  <c r="E128" i="22"/>
  <c r="F127" i="22"/>
  <c r="M101" i="22" s="1"/>
  <c r="E127" i="22"/>
  <c r="F126" i="22"/>
  <c r="M90" i="22" s="1"/>
  <c r="E126" i="22"/>
  <c r="F125" i="22"/>
  <c r="M79" i="22" s="1"/>
  <c r="E125" i="22"/>
  <c r="E124" i="22"/>
  <c r="D128" i="22"/>
  <c r="D127" i="22"/>
  <c r="D126" i="22"/>
  <c r="D125" i="22"/>
  <c r="C128" i="22"/>
  <c r="C127" i="22"/>
  <c r="C126" i="22"/>
  <c r="P27" i="30" s="1"/>
  <c r="C125" i="22"/>
  <c r="B128" i="22"/>
  <c r="B127" i="22"/>
  <c r="B126" i="22"/>
  <c r="F12" i="43" s="1"/>
  <c r="W27" i="22" s="1"/>
  <c r="H68" i="46" s="1"/>
  <c r="B125" i="22"/>
  <c r="J247" i="22"/>
  <c r="K247" i="22"/>
  <c r="J246" i="22"/>
  <c r="K246" i="22" s="1"/>
  <c r="E59" i="30"/>
  <c r="E64" i="30" s="1"/>
  <c r="J244" i="22"/>
  <c r="K244" i="22"/>
  <c r="K223" i="22"/>
  <c r="K224" i="22"/>
  <c r="K225" i="22"/>
  <c r="K226" i="22"/>
  <c r="K227" i="22"/>
  <c r="K228" i="22"/>
  <c r="K229" i="22"/>
  <c r="K230" i="22"/>
  <c r="K231" i="22"/>
  <c r="K233" i="22"/>
  <c r="K237" i="22"/>
  <c r="K238" i="22"/>
  <c r="K239" i="22"/>
  <c r="K240" i="22"/>
  <c r="K241" i="22"/>
  <c r="K242" i="22"/>
  <c r="K243" i="22"/>
  <c r="K234" i="22"/>
  <c r="K232" i="22"/>
  <c r="E63" i="41"/>
  <c r="E60" i="41"/>
  <c r="K245" i="22"/>
  <c r="D45" i="30"/>
  <c r="P12" i="30"/>
  <c r="P11" i="30"/>
  <c r="P10" i="30"/>
  <c r="P9" i="30"/>
  <c r="P8" i="30"/>
  <c r="O12" i="30"/>
  <c r="O11" i="30"/>
  <c r="O10" i="30"/>
  <c r="O9" i="30"/>
  <c r="K12" i="30"/>
  <c r="M12" i="30"/>
  <c r="K8" i="30"/>
  <c r="M8" i="30"/>
  <c r="B12" i="30"/>
  <c r="B11" i="30"/>
  <c r="B10" i="30"/>
  <c r="B9" i="30"/>
  <c r="B8" i="30"/>
  <c r="N187" i="22"/>
  <c r="N186" i="22"/>
  <c r="N185" i="22"/>
  <c r="N184" i="22"/>
  <c r="N183" i="22"/>
  <c r="N182" i="22"/>
  <c r="N181" i="22"/>
  <c r="N180" i="22"/>
  <c r="N179" i="22"/>
  <c r="N178" i="22"/>
  <c r="M187" i="22"/>
  <c r="M186" i="22"/>
  <c r="M185" i="22"/>
  <c r="M184" i="22"/>
  <c r="M183" i="22"/>
  <c r="M182" i="22"/>
  <c r="M181" i="22"/>
  <c r="M180" i="22"/>
  <c r="M179" i="22"/>
  <c r="M178" i="22"/>
  <c r="P198" i="22"/>
  <c r="R198" i="22"/>
  <c r="K22" i="41" s="1"/>
  <c r="O198" i="22"/>
  <c r="N198" i="22"/>
  <c r="M198" i="22"/>
  <c r="P197" i="22"/>
  <c r="R197" i="22" s="1"/>
  <c r="K21" i="30" s="1"/>
  <c r="M21" i="30" s="1"/>
  <c r="O197" i="22"/>
  <c r="N197" i="22"/>
  <c r="M197" i="22"/>
  <c r="P196" i="22"/>
  <c r="R196" i="22" s="1"/>
  <c r="K20" i="30" s="1"/>
  <c r="M20" i="30" s="1"/>
  <c r="O196" i="22"/>
  <c r="N196" i="22"/>
  <c r="M196" i="22"/>
  <c r="P195" i="22"/>
  <c r="R195" i="22" s="1"/>
  <c r="O195" i="22"/>
  <c r="N195" i="22"/>
  <c r="M195" i="22"/>
  <c r="P194" i="22"/>
  <c r="R194" i="22" s="1"/>
  <c r="O194" i="22"/>
  <c r="N194" i="22"/>
  <c r="M194" i="22"/>
  <c r="P193" i="22"/>
  <c r="R193" i="22" s="1"/>
  <c r="K17" i="30" s="1"/>
  <c r="O193" i="22"/>
  <c r="N193" i="22"/>
  <c r="M193" i="22"/>
  <c r="P192" i="22"/>
  <c r="R192" i="22" s="1"/>
  <c r="O192" i="22"/>
  <c r="N192" i="22"/>
  <c r="M192" i="22"/>
  <c r="P191" i="22"/>
  <c r="R191" i="22"/>
  <c r="K15" i="30" s="1"/>
  <c r="O191" i="22"/>
  <c r="P190" i="22"/>
  <c r="R190" i="22" s="1"/>
  <c r="O190" i="22"/>
  <c r="N190" i="22"/>
  <c r="M190" i="22"/>
  <c r="P189" i="22"/>
  <c r="R189" i="22"/>
  <c r="K13" i="30" s="1"/>
  <c r="O189" i="22"/>
  <c r="N189" i="22"/>
  <c r="M189" i="22"/>
  <c r="P187" i="22"/>
  <c r="R187" i="22" s="1"/>
  <c r="O187" i="22"/>
  <c r="P186" i="22"/>
  <c r="R186" i="22" s="1"/>
  <c r="O186" i="22"/>
  <c r="P185" i="22"/>
  <c r="R185" i="22" s="1"/>
  <c r="O185" i="22"/>
  <c r="P184" i="22"/>
  <c r="R184" i="22"/>
  <c r="O184" i="22"/>
  <c r="P183" i="22"/>
  <c r="R183" i="22" s="1"/>
  <c r="O183" i="22"/>
  <c r="P182" i="22"/>
  <c r="R182" i="22" s="1"/>
  <c r="O182" i="22"/>
  <c r="P181" i="22"/>
  <c r="R181" i="22" s="1"/>
  <c r="O181" i="22"/>
  <c r="P180" i="22"/>
  <c r="R180" i="22"/>
  <c r="O180" i="22"/>
  <c r="P179" i="22"/>
  <c r="R179" i="22" s="1"/>
  <c r="O179" i="22"/>
  <c r="P178" i="22"/>
  <c r="R178" i="22"/>
  <c r="O178" i="22"/>
  <c r="R113" i="22"/>
  <c r="I128" i="22" s="1"/>
  <c r="Q113" i="22"/>
  <c r="H128" i="22" s="1"/>
  <c r="P113" i="22"/>
  <c r="G128" i="22" s="1"/>
  <c r="R102" i="22"/>
  <c r="I127" i="22" s="1"/>
  <c r="Q102" i="22"/>
  <c r="H127" i="22"/>
  <c r="P102" i="22"/>
  <c r="G127" i="22" s="1"/>
  <c r="R91" i="22"/>
  <c r="I126" i="22"/>
  <c r="Q91" i="22"/>
  <c r="H126" i="22" s="1"/>
  <c r="P91" i="22"/>
  <c r="G126" i="22"/>
  <c r="R80" i="22"/>
  <c r="I125" i="22" s="1"/>
  <c r="Q80" i="22"/>
  <c r="H125" i="22"/>
  <c r="P80" i="22"/>
  <c r="G125" i="22" s="1"/>
  <c r="R70" i="22"/>
  <c r="Q70" i="22"/>
  <c r="H124" i="22" s="1"/>
  <c r="P70" i="22"/>
  <c r="G124" i="22" s="1"/>
  <c r="N60" i="22"/>
  <c r="N59" i="22"/>
  <c r="N58" i="22"/>
  <c r="N57" i="22"/>
  <c r="N56" i="22"/>
  <c r="N54" i="22"/>
  <c r="N53" i="22"/>
  <c r="N52" i="22"/>
  <c r="N51" i="22"/>
  <c r="N50" i="22"/>
  <c r="M54" i="22"/>
  <c r="M53" i="22"/>
  <c r="M52" i="22"/>
  <c r="M51" i="22"/>
  <c r="M50" i="22"/>
  <c r="M60" i="22"/>
  <c r="M59" i="22"/>
  <c r="M58" i="22"/>
  <c r="M57" i="22"/>
  <c r="M56" i="22"/>
  <c r="N48" i="22"/>
  <c r="M48" i="22"/>
  <c r="N47" i="22"/>
  <c r="M47" i="22"/>
  <c r="N46" i="22"/>
  <c r="M46" i="22"/>
  <c r="N45" i="22"/>
  <c r="M45" i="22"/>
  <c r="N44" i="22"/>
  <c r="N38" i="22"/>
  <c r="M39" i="22"/>
  <c r="N39" i="22"/>
  <c r="M41" i="22"/>
  <c r="N41" i="22"/>
  <c r="M42" i="22"/>
  <c r="N42" i="22"/>
  <c r="P18" i="30"/>
  <c r="P32" i="30"/>
  <c r="O32" i="30"/>
  <c r="G32" i="30"/>
  <c r="C32" i="30"/>
  <c r="B32" i="30"/>
  <c r="P22" i="30"/>
  <c r="P21" i="30"/>
  <c r="P20" i="30"/>
  <c r="P19" i="30"/>
  <c r="P17" i="30"/>
  <c r="P16" i="30"/>
  <c r="P15" i="30"/>
  <c r="P14" i="30"/>
  <c r="P13" i="30"/>
  <c r="O22" i="30"/>
  <c r="O21" i="30"/>
  <c r="O20" i="30"/>
  <c r="O19" i="30"/>
  <c r="O18" i="30"/>
  <c r="O17" i="30"/>
  <c r="O15" i="30"/>
  <c r="O13" i="30"/>
  <c r="B22" i="30"/>
  <c r="B21" i="30"/>
  <c r="B20" i="30"/>
  <c r="B19" i="30"/>
  <c r="B18" i="30"/>
  <c r="B17" i="30"/>
  <c r="B16" i="30"/>
  <c r="B15" i="30"/>
  <c r="B14" i="30"/>
  <c r="B13" i="30"/>
  <c r="K12" i="41"/>
  <c r="K10" i="30"/>
  <c r="M10" i="30" s="1"/>
  <c r="K10" i="41"/>
  <c r="M10" i="41" s="1"/>
  <c r="K9" i="30"/>
  <c r="M9" i="30" s="1"/>
  <c r="K9" i="41"/>
  <c r="K8" i="41"/>
  <c r="M8" i="41" s="1"/>
  <c r="O146" i="30"/>
  <c r="O145" i="30"/>
  <c r="O144" i="30"/>
  <c r="O142" i="30"/>
  <c r="O141" i="30"/>
  <c r="O140" i="30"/>
  <c r="O138" i="30"/>
  <c r="O137" i="30"/>
  <c r="O136" i="30"/>
  <c r="O124" i="30"/>
  <c r="O123" i="30"/>
  <c r="O122" i="30"/>
  <c r="O120" i="30"/>
  <c r="O119" i="30"/>
  <c r="O118" i="30"/>
  <c r="O116" i="30"/>
  <c r="O115" i="30"/>
  <c r="O114" i="30"/>
  <c r="O112" i="30"/>
  <c r="K22" i="30"/>
  <c r="M22" i="30" s="1"/>
  <c r="C51" i="30"/>
  <c r="C50" i="30"/>
  <c r="AF136" i="22"/>
  <c r="AF135" i="22" s="1"/>
  <c r="H15" i="22"/>
  <c r="C43" i="30"/>
  <c r="C42" i="30"/>
  <c r="C41" i="30"/>
  <c r="P210" i="22"/>
  <c r="O210" i="22"/>
  <c r="P7" i="30"/>
  <c r="K7" i="30"/>
  <c r="I7" i="30"/>
  <c r="M7" i="30" s="1"/>
  <c r="G7" i="30"/>
  <c r="E7" i="30"/>
  <c r="B7" i="30"/>
  <c r="P203" i="22"/>
  <c r="O203" i="22"/>
  <c r="M32" i="22"/>
  <c r="O32" i="22" s="1"/>
  <c r="M31" i="22"/>
  <c r="O31" i="22"/>
  <c r="R35" i="30"/>
  <c r="O21" i="44" s="1"/>
  <c r="R34" i="30"/>
  <c r="O20" i="44" s="1"/>
  <c r="Q35" i="30"/>
  <c r="N21" i="44" s="1"/>
  <c r="Q34" i="30"/>
  <c r="N20" i="44" s="1"/>
  <c r="P34" i="30"/>
  <c r="O34" i="30"/>
  <c r="G8" i="44" s="1"/>
  <c r="G43" i="44" s="1"/>
  <c r="I34" i="30"/>
  <c r="F8" i="44"/>
  <c r="E43" i="44" s="1"/>
  <c r="G34" i="30"/>
  <c r="E8" i="44" s="1"/>
  <c r="E34" i="30"/>
  <c r="D8" i="44" s="1"/>
  <c r="E44" i="44" s="1"/>
  <c r="C34" i="30"/>
  <c r="C8" i="44" s="1"/>
  <c r="S11" i="44" s="1"/>
  <c r="D43" i="44" s="1"/>
  <c r="B34" i="30"/>
  <c r="A8" i="44"/>
  <c r="P33" i="30"/>
  <c r="O33" i="30"/>
  <c r="B33" i="30"/>
  <c r="I33" i="30"/>
  <c r="M33" i="30" s="1"/>
  <c r="K33" i="30"/>
  <c r="G33" i="30"/>
  <c r="E33" i="30"/>
  <c r="C33" i="30"/>
  <c r="K34" i="30"/>
  <c r="M34" i="30"/>
  <c r="B3" i="30"/>
  <c r="P37" i="30"/>
  <c r="O37" i="30"/>
  <c r="I37" i="30"/>
  <c r="K37" i="30" s="1"/>
  <c r="M37" i="30" s="1"/>
  <c r="G37" i="30"/>
  <c r="E37" i="30"/>
  <c r="C37" i="30"/>
  <c r="B37" i="30"/>
  <c r="P36" i="30"/>
  <c r="O36" i="30"/>
  <c r="I36" i="30"/>
  <c r="K36" i="30" s="1"/>
  <c r="G36" i="30"/>
  <c r="E36" i="30"/>
  <c r="C36" i="30"/>
  <c r="B36" i="30"/>
  <c r="M11" i="30"/>
  <c r="P3" i="30"/>
  <c r="M3" i="30"/>
  <c r="J3" i="30"/>
  <c r="G3" i="30"/>
  <c r="D3" i="30"/>
  <c r="E32" i="22"/>
  <c r="E31" i="22"/>
  <c r="D32" i="22"/>
  <c r="D31" i="22"/>
  <c r="C32" i="22"/>
  <c r="C31" i="22"/>
  <c r="N15" i="22"/>
  <c r="J3" i="48"/>
  <c r="J72" i="48" s="1"/>
  <c r="D124" i="22"/>
  <c r="I124" i="22"/>
  <c r="C124" i="22"/>
  <c r="F122" i="22"/>
  <c r="E122" i="22"/>
  <c r="D122" i="22"/>
  <c r="C122" i="22"/>
  <c r="C27" i="30" s="1"/>
  <c r="I24" i="41"/>
  <c r="O30" i="30"/>
  <c r="P25" i="30"/>
  <c r="B28" i="30"/>
  <c r="B27" i="30"/>
  <c r="E31" i="30"/>
  <c r="O24" i="30"/>
  <c r="M26" i="22"/>
  <c r="K25" i="22"/>
  <c r="K26" i="22"/>
  <c r="C46" i="41"/>
  <c r="G32" i="22"/>
  <c r="G31" i="22"/>
  <c r="I25" i="22"/>
  <c r="I26" i="22"/>
  <c r="E65" i="41"/>
  <c r="C62" i="41"/>
  <c r="E31" i="41"/>
  <c r="K26" i="44"/>
  <c r="I26" i="41"/>
  <c r="I47" i="44"/>
  <c r="B31" i="41"/>
  <c r="I29" i="41"/>
  <c r="B8" i="44"/>
  <c r="R11" i="44"/>
  <c r="I31" i="41"/>
  <c r="B30" i="41"/>
  <c r="P27" i="41"/>
  <c r="M9" i="41"/>
  <c r="I83" i="48"/>
  <c r="B24" i="41"/>
  <c r="G25" i="41"/>
  <c r="G28" i="41"/>
  <c r="K28" i="44"/>
  <c r="J44" i="44" s="1"/>
  <c r="J22" i="44"/>
  <c r="I48" i="44"/>
  <c r="C22" i="44"/>
  <c r="J3" i="46"/>
  <c r="J36" i="46" s="1"/>
  <c r="E62" i="30"/>
  <c r="C61" i="30"/>
  <c r="C60" i="30"/>
  <c r="C65" i="30" s="1"/>
  <c r="E12" i="43"/>
  <c r="U27" i="22" s="1"/>
  <c r="F68" i="46" s="1"/>
  <c r="J72" i="46"/>
  <c r="B7" i="42"/>
  <c r="C7" i="42" s="1"/>
  <c r="B93" i="41"/>
  <c r="D93" i="41" s="1"/>
  <c r="B5" i="42"/>
  <c r="C5" i="42" s="1"/>
  <c r="E63" i="30"/>
  <c r="E60" i="30"/>
  <c r="E65" i="30" s="1"/>
  <c r="B183" i="30"/>
  <c r="B93" i="30"/>
  <c r="C93" i="30" s="1"/>
  <c r="C52" i="30"/>
  <c r="C91" i="48" s="1"/>
  <c r="C46" i="30"/>
  <c r="D93" i="30"/>
  <c r="C47" i="41"/>
  <c r="C47" i="30"/>
  <c r="B69" i="30" l="1"/>
  <c r="F11" i="43"/>
  <c r="V27" i="22" s="1"/>
  <c r="G68" i="46" s="1"/>
  <c r="G24" i="41"/>
  <c r="C26" i="41"/>
  <c r="P30" i="41"/>
  <c r="P31" i="41"/>
  <c r="G27" i="30"/>
  <c r="O31" i="30"/>
  <c r="I29" i="30"/>
  <c r="B28" i="41"/>
  <c r="E20" i="48"/>
  <c r="I15" i="22"/>
  <c r="E20" i="46"/>
  <c r="W134" i="22"/>
  <c r="W137" i="22"/>
  <c r="P25" i="41"/>
  <c r="O25" i="41"/>
  <c r="E28" i="30"/>
  <c r="G26" i="30"/>
  <c r="P29" i="41"/>
  <c r="W136" i="22"/>
  <c r="P181" i="41"/>
  <c r="Q181" i="41" s="1"/>
  <c r="N181" i="41"/>
  <c r="E11" i="43"/>
  <c r="T27" i="22" s="1"/>
  <c r="E68" i="46" s="1"/>
  <c r="D69" i="41"/>
  <c r="D68" i="41"/>
  <c r="L12" i="43"/>
  <c r="W28" i="22" s="1"/>
  <c r="H68" i="48" s="1"/>
  <c r="K12" i="43"/>
  <c r="U28" i="22" s="1"/>
  <c r="F68" i="48" s="1"/>
  <c r="I23" i="30"/>
  <c r="B27" i="41"/>
  <c r="O27" i="41"/>
  <c r="I25" i="41"/>
  <c r="P26" i="41"/>
  <c r="C25" i="30"/>
  <c r="C26" i="30"/>
  <c r="G28" i="30"/>
  <c r="B29" i="41"/>
  <c r="E26" i="30"/>
  <c r="D119" i="30" s="1"/>
  <c r="H119" i="30" s="1"/>
  <c r="J36" i="48"/>
  <c r="I28" i="41"/>
  <c r="G23" i="41"/>
  <c r="P23" i="41"/>
  <c r="B23" i="41"/>
  <c r="E25" i="41"/>
  <c r="P23" i="30"/>
  <c r="P31" i="30"/>
  <c r="P29" i="30"/>
  <c r="O23" i="41"/>
  <c r="G114" i="41" s="1"/>
  <c r="C28" i="41"/>
  <c r="O23" i="30"/>
  <c r="G114" i="30" s="1"/>
  <c r="C28" i="30"/>
  <c r="B25" i="41"/>
  <c r="B26" i="41"/>
  <c r="B31" i="30"/>
  <c r="E30" i="30"/>
  <c r="E27" i="30"/>
  <c r="E25" i="30"/>
  <c r="C29" i="30"/>
  <c r="P26" i="30"/>
  <c r="O28" i="30"/>
  <c r="G25" i="30"/>
  <c r="I31" i="30"/>
  <c r="P28" i="30"/>
  <c r="B30" i="30"/>
  <c r="B24" i="30"/>
  <c r="P24" i="30"/>
  <c r="G30" i="41"/>
  <c r="E27" i="41"/>
  <c r="E24" i="41"/>
  <c r="G26" i="41"/>
  <c r="P24" i="41"/>
  <c r="G27" i="41"/>
  <c r="C30" i="41"/>
  <c r="G31" i="41"/>
  <c r="O31" i="41"/>
  <c r="O30" i="41"/>
  <c r="E30" i="41"/>
  <c r="C25" i="41"/>
  <c r="P30" i="30"/>
  <c r="C30" i="30"/>
  <c r="B29" i="30"/>
  <c r="B23" i="30"/>
  <c r="I28" i="30"/>
  <c r="I26" i="30"/>
  <c r="G23" i="30"/>
  <c r="B25" i="30"/>
  <c r="G31" i="30"/>
  <c r="O27" i="30"/>
  <c r="B26" i="30"/>
  <c r="G29" i="30"/>
  <c r="E24" i="30"/>
  <c r="C24" i="41"/>
  <c r="E23" i="41"/>
  <c r="D115" i="41" s="1"/>
  <c r="H115" i="41" s="1"/>
  <c r="I27" i="41"/>
  <c r="I30" i="41"/>
  <c r="D122" i="41" s="1"/>
  <c r="C24" i="30"/>
  <c r="E23" i="30"/>
  <c r="D115" i="30" s="1"/>
  <c r="I27" i="30"/>
  <c r="I30" i="30"/>
  <c r="D122" i="30" s="1"/>
  <c r="C23" i="41"/>
  <c r="O26" i="41"/>
  <c r="G118" i="41" s="1"/>
  <c r="O29" i="41"/>
  <c r="G144" i="41" s="1"/>
  <c r="C23" i="30"/>
  <c r="O26" i="30"/>
  <c r="G118" i="30" s="1"/>
  <c r="O29" i="30"/>
  <c r="I23" i="41"/>
  <c r="C27" i="41"/>
  <c r="E26" i="41"/>
  <c r="D119" i="41" s="1"/>
  <c r="H119" i="41" s="1"/>
  <c r="E29" i="41"/>
  <c r="J110" i="48"/>
  <c r="E28" i="41"/>
  <c r="O28" i="41"/>
  <c r="D83" i="48"/>
  <c r="C31" i="41"/>
  <c r="C29" i="41"/>
  <c r="O24" i="41"/>
  <c r="G29" i="41"/>
  <c r="G24" i="30"/>
  <c r="C31" i="30"/>
  <c r="O25" i="30"/>
  <c r="I24" i="30"/>
  <c r="I25" i="30"/>
  <c r="G30" i="30"/>
  <c r="P28" i="41"/>
  <c r="C69" i="30"/>
  <c r="AA142" i="22"/>
  <c r="W135" i="22"/>
  <c r="E29" i="30"/>
  <c r="D123" i="30" s="1"/>
  <c r="H123" i="30" s="1"/>
  <c r="B69" i="41"/>
  <c r="H172" i="41"/>
  <c r="C67" i="30"/>
  <c r="H161" i="41"/>
  <c r="H137" i="30"/>
  <c r="L137" i="30" s="1"/>
  <c r="N137" i="30" s="1"/>
  <c r="H141" i="30"/>
  <c r="D94" i="30"/>
  <c r="D77" i="30"/>
  <c r="D69" i="30"/>
  <c r="C69" i="41"/>
  <c r="D68" i="30"/>
  <c r="L11" i="43"/>
  <c r="V28" i="22" s="1"/>
  <c r="G68" i="48" s="1"/>
  <c r="B6" i="42"/>
  <c r="C6" i="42" s="1"/>
  <c r="B8" i="42"/>
  <c r="C8" i="42" s="1"/>
  <c r="M12" i="41"/>
  <c r="A98" i="46"/>
  <c r="K11" i="43"/>
  <c r="T28" i="22" s="1"/>
  <c r="E68" i="48" s="1"/>
  <c r="C94" i="30"/>
  <c r="H180" i="41"/>
  <c r="L180" i="41" s="1"/>
  <c r="N180" i="41" s="1"/>
  <c r="M36" i="30"/>
  <c r="P21" i="44"/>
  <c r="O18" i="44"/>
  <c r="M19" i="44" s="1"/>
  <c r="U11" i="44" s="1"/>
  <c r="V11" i="44" s="1"/>
  <c r="N181" i="30"/>
  <c r="P181" i="30"/>
  <c r="Q181" i="30" s="1"/>
  <c r="P164" i="30"/>
  <c r="Q164" i="30" s="1"/>
  <c r="N164" i="30"/>
  <c r="H176" i="30"/>
  <c r="H43" i="44"/>
  <c r="L43" i="44" s="1"/>
  <c r="N43" i="44" s="1"/>
  <c r="P20" i="44"/>
  <c r="H172" i="30"/>
  <c r="H161" i="30"/>
  <c r="H115" i="30"/>
  <c r="Q21" i="44"/>
  <c r="G175" i="30"/>
  <c r="H175" i="30"/>
  <c r="D83" i="46"/>
  <c r="D174" i="30"/>
  <c r="H174" i="30" s="1"/>
  <c r="E83" i="48"/>
  <c r="E83" i="46"/>
  <c r="B139" i="41"/>
  <c r="D142" i="41" s="1"/>
  <c r="H142" i="41" s="1"/>
  <c r="D177" i="41"/>
  <c r="H177" i="41" s="1"/>
  <c r="J146" i="41"/>
  <c r="L146" i="41" s="1"/>
  <c r="N146" i="41" s="1"/>
  <c r="C77" i="41"/>
  <c r="J145" i="41"/>
  <c r="E61" i="41"/>
  <c r="E62" i="41"/>
  <c r="C61" i="41"/>
  <c r="C60" i="41"/>
  <c r="C65" i="41" s="1"/>
  <c r="C64" i="41"/>
  <c r="D177" i="30"/>
  <c r="H177" i="30" s="1"/>
  <c r="B139" i="30"/>
  <c r="B77" i="30"/>
  <c r="W19" i="44"/>
  <c r="E46" i="44"/>
  <c r="H46" i="44" s="1"/>
  <c r="L46" i="44" s="1"/>
  <c r="N46" i="44" s="1"/>
  <c r="E47" i="44"/>
  <c r="H47" i="44" s="1"/>
  <c r="L47" i="44" s="1"/>
  <c r="N47" i="44" s="1"/>
  <c r="E45" i="44"/>
  <c r="H45" i="44" s="1"/>
  <c r="L45" i="44" s="1"/>
  <c r="N45" i="44" s="1"/>
  <c r="W20" i="44"/>
  <c r="C52" i="41"/>
  <c r="D182" i="41"/>
  <c r="H182" i="41" s="1"/>
  <c r="L182" i="41" s="1"/>
  <c r="P182" i="41" s="1"/>
  <c r="Q182" i="41" s="1"/>
  <c r="C64" i="30"/>
  <c r="C62" i="30"/>
  <c r="E61" i="30"/>
  <c r="D97" i="30"/>
  <c r="C97" i="30"/>
  <c r="C93" i="41"/>
  <c r="C97" i="41" s="1"/>
  <c r="F105" i="48"/>
  <c r="C93" i="48"/>
  <c r="C100" i="48" s="1"/>
  <c r="C91" i="46"/>
  <c r="D182" i="30"/>
  <c r="H182" i="30" s="1"/>
  <c r="L182" i="30" s="1"/>
  <c r="P182" i="30" s="1"/>
  <c r="Q182" i="30" s="1"/>
  <c r="A4" i="45"/>
  <c r="D12" i="45" s="1"/>
  <c r="D180" i="30"/>
  <c r="H180" i="30" s="1"/>
  <c r="L180" i="30" s="1"/>
  <c r="N180" i="30" s="1"/>
  <c r="B97" i="41"/>
  <c r="B97" i="30"/>
  <c r="D97" i="41"/>
  <c r="P180" i="41"/>
  <c r="Q180" i="41" s="1"/>
  <c r="N182" i="30"/>
  <c r="C92" i="48"/>
  <c r="C99" i="48" s="1"/>
  <c r="J110" i="46"/>
  <c r="C98" i="48"/>
  <c r="G122" i="41"/>
  <c r="C68" i="41"/>
  <c r="B68" i="41"/>
  <c r="C68" i="30"/>
  <c r="C73" i="30" s="1"/>
  <c r="C96" i="30" s="1"/>
  <c r="B68" i="30"/>
  <c r="G84" i="46"/>
  <c r="K19" i="41"/>
  <c r="M19" i="41" s="1"/>
  <c r="K19" i="30"/>
  <c r="M19" i="30" s="1"/>
  <c r="D86" i="41"/>
  <c r="D94" i="41" s="1"/>
  <c r="C86" i="41"/>
  <c r="C94" i="41" s="1"/>
  <c r="K16" i="41"/>
  <c r="M16" i="41" s="1"/>
  <c r="K16" i="30"/>
  <c r="M16" i="30" s="1"/>
  <c r="K18" i="30"/>
  <c r="M18" i="30" s="1"/>
  <c r="K18" i="41"/>
  <c r="M18" i="41" s="1"/>
  <c r="K14" i="41"/>
  <c r="M14" i="41" s="1"/>
  <c r="K14" i="30"/>
  <c r="M14" i="30" s="1"/>
  <c r="K13" i="41"/>
  <c r="M13" i="41" s="1"/>
  <c r="K15" i="41"/>
  <c r="M15" i="41" s="1"/>
  <c r="K20" i="41"/>
  <c r="M20" i="41" s="1"/>
  <c r="M22" i="41"/>
  <c r="K17" i="41"/>
  <c r="M17" i="41" s="1"/>
  <c r="K21" i="41"/>
  <c r="M21" i="41" s="1"/>
  <c r="M13" i="30"/>
  <c r="M15" i="30"/>
  <c r="T221" i="22"/>
  <c r="G82" i="46" s="1"/>
  <c r="M17" i="30"/>
  <c r="B155" i="30"/>
  <c r="D157" i="30" s="1"/>
  <c r="H157" i="30" s="1"/>
  <c r="B160" i="30"/>
  <c r="D162" i="30" s="1"/>
  <c r="H162" i="30" s="1"/>
  <c r="B160" i="41"/>
  <c r="D162" i="41" s="1"/>
  <c r="H162" i="41" s="1"/>
  <c r="B94" i="41"/>
  <c r="I82" i="46"/>
  <c r="I82" i="48"/>
  <c r="D82" i="48"/>
  <c r="D82" i="46"/>
  <c r="R221" i="22"/>
  <c r="D156" i="30"/>
  <c r="H156" i="30" s="1"/>
  <c r="D156" i="41"/>
  <c r="H156" i="41" s="1"/>
  <c r="B67" i="30"/>
  <c r="D12" i="43"/>
  <c r="S27" i="22" s="1"/>
  <c r="D68" i="46" s="1"/>
  <c r="J11" i="43"/>
  <c r="R28" i="22" s="1"/>
  <c r="C68" i="48" s="1"/>
  <c r="C67" i="41"/>
  <c r="C73" i="41" s="1"/>
  <c r="D67" i="41"/>
  <c r="D73" i="41" s="1"/>
  <c r="D96" i="41" s="1"/>
  <c r="D11" i="43"/>
  <c r="R27" i="22" s="1"/>
  <c r="C68" i="46" s="1"/>
  <c r="J12" i="43"/>
  <c r="S28" i="22" s="1"/>
  <c r="D68" i="48" s="1"/>
  <c r="D67" i="30"/>
  <c r="B67" i="41"/>
  <c r="D178" i="41" s="1"/>
  <c r="H178" i="41" s="1"/>
  <c r="C77" i="30"/>
  <c r="D84" i="46"/>
  <c r="B143" i="30"/>
  <c r="J142" i="30" s="1"/>
  <c r="B117" i="41"/>
  <c r="D118" i="41" s="1"/>
  <c r="H118" i="41" s="1"/>
  <c r="B121" i="30"/>
  <c r="I84" i="48"/>
  <c r="I84" i="46"/>
  <c r="D77" i="41"/>
  <c r="B143" i="41"/>
  <c r="J141" i="41" s="1"/>
  <c r="L141" i="41" s="1"/>
  <c r="H122" i="41"/>
  <c r="D144" i="41"/>
  <c r="H144" i="41" s="1"/>
  <c r="B121" i="41"/>
  <c r="B77" i="41"/>
  <c r="D144" i="30"/>
  <c r="D145" i="41"/>
  <c r="H145" i="41" s="1"/>
  <c r="D123" i="41"/>
  <c r="H123" i="41" s="1"/>
  <c r="G144" i="30"/>
  <c r="G122" i="30"/>
  <c r="H122" i="30" s="1"/>
  <c r="D145" i="30" l="1"/>
  <c r="H145" i="30" s="1"/>
  <c r="B167" i="30"/>
  <c r="H44" i="44"/>
  <c r="L44" i="44" s="1"/>
  <c r="N44" i="44" s="1"/>
  <c r="N50" i="44" s="1"/>
  <c r="D52" i="44" s="1"/>
  <c r="F52" i="44" s="1"/>
  <c r="G68" i="41"/>
  <c r="D140" i="41"/>
  <c r="H140" i="41" s="1"/>
  <c r="M20" i="44"/>
  <c r="U12" i="44" s="1"/>
  <c r="V12" i="44" s="1"/>
  <c r="W12" i="44" s="1"/>
  <c r="M21" i="44"/>
  <c r="U13" i="44" s="1"/>
  <c r="V13" i="44" s="1"/>
  <c r="W13" i="44" s="1"/>
  <c r="V14" i="44"/>
  <c r="D42" i="44" s="1"/>
  <c r="W11" i="44"/>
  <c r="W14" i="44" s="1"/>
  <c r="C52" i="44" s="1"/>
  <c r="V15" i="44"/>
  <c r="V16" i="44" s="1"/>
  <c r="B73" i="30"/>
  <c r="N182" i="41"/>
  <c r="J144" i="41"/>
  <c r="L144" i="41" s="1"/>
  <c r="N144" i="41" s="1"/>
  <c r="L145" i="41"/>
  <c r="N145" i="41" s="1"/>
  <c r="B73" i="41"/>
  <c r="B165" i="41" s="1"/>
  <c r="D178" i="30"/>
  <c r="H178" i="30" s="1"/>
  <c r="J144" i="30"/>
  <c r="J146" i="30"/>
  <c r="L146" i="30" s="1"/>
  <c r="N146" i="30" s="1"/>
  <c r="D140" i="30"/>
  <c r="H140" i="30" s="1"/>
  <c r="D142" i="30"/>
  <c r="H142" i="30" s="1"/>
  <c r="L142" i="30" s="1"/>
  <c r="N142" i="30" s="1"/>
  <c r="J145" i="30"/>
  <c r="L145" i="30" s="1"/>
  <c r="N145" i="30" s="1"/>
  <c r="W15" i="44"/>
  <c r="W16" i="44" s="1"/>
  <c r="H48" i="44" s="1"/>
  <c r="L48" i="44" s="1"/>
  <c r="F117" i="46"/>
  <c r="F53" i="44"/>
  <c r="F117" i="48"/>
  <c r="P180" i="30"/>
  <c r="Q180" i="30" s="1"/>
  <c r="C93" i="46"/>
  <c r="C100" i="46" s="1"/>
  <c r="C98" i="46"/>
  <c r="C92" i="46"/>
  <c r="C99" i="46" s="1"/>
  <c r="F105" i="46"/>
  <c r="G12" i="45"/>
  <c r="E12" i="45"/>
  <c r="F12" i="45"/>
  <c r="B117" i="30"/>
  <c r="D118" i="30" s="1"/>
  <c r="H118" i="30" s="1"/>
  <c r="G68" i="30"/>
  <c r="B113" i="30"/>
  <c r="J118" i="30" s="1"/>
  <c r="G67" i="30"/>
  <c r="D73" i="30"/>
  <c r="D96" i="30" s="1"/>
  <c r="B155" i="41"/>
  <c r="D158" i="41" s="1"/>
  <c r="H158" i="41" s="1"/>
  <c r="D158" i="30"/>
  <c r="H158" i="30" s="1"/>
  <c r="G82" i="48"/>
  <c r="D163" i="30"/>
  <c r="H163" i="30" s="1"/>
  <c r="B154" i="30"/>
  <c r="D163" i="41"/>
  <c r="H163" i="41" s="1"/>
  <c r="E82" i="46"/>
  <c r="E82" i="48"/>
  <c r="J140" i="30"/>
  <c r="C96" i="41"/>
  <c r="C95" i="41"/>
  <c r="G67" i="41"/>
  <c r="B113" i="41"/>
  <c r="J124" i="41" s="1"/>
  <c r="L124" i="41" s="1"/>
  <c r="N124" i="41" s="1"/>
  <c r="C95" i="30"/>
  <c r="C98" i="30" s="1"/>
  <c r="M82" i="30" s="1"/>
  <c r="B147" i="30"/>
  <c r="D136" i="30" s="1"/>
  <c r="H136" i="30" s="1"/>
  <c r="L136" i="30" s="1"/>
  <c r="N136" i="30" s="1"/>
  <c r="J141" i="30"/>
  <c r="L141" i="30" s="1"/>
  <c r="N141" i="30" s="1"/>
  <c r="J142" i="41"/>
  <c r="L142" i="41" s="1"/>
  <c r="N142" i="41" s="1"/>
  <c r="B147" i="41"/>
  <c r="D136" i="41" s="1"/>
  <c r="H136" i="41" s="1"/>
  <c r="L136" i="41" s="1"/>
  <c r="N136" i="41" s="1"/>
  <c r="J140" i="41"/>
  <c r="L140" i="41" s="1"/>
  <c r="N140" i="41" s="1"/>
  <c r="D95" i="41"/>
  <c r="D98" i="41" s="1"/>
  <c r="N82" i="41" s="1"/>
  <c r="K85" i="41" s="1"/>
  <c r="N85" i="41" s="1"/>
  <c r="N141" i="41"/>
  <c r="B95" i="30"/>
  <c r="B96" i="30"/>
  <c r="H144" i="30"/>
  <c r="B167" i="41"/>
  <c r="L140" i="30" l="1"/>
  <c r="N140" i="30" s="1"/>
  <c r="D157" i="41"/>
  <c r="H157" i="41" s="1"/>
  <c r="B95" i="41"/>
  <c r="B96" i="41"/>
  <c r="L144" i="30"/>
  <c r="N144" i="30" s="1"/>
  <c r="N147" i="30" s="1"/>
  <c r="P144" i="30" s="1"/>
  <c r="N48" i="44"/>
  <c r="N53" i="44"/>
  <c r="O53" i="44" s="1"/>
  <c r="N51" i="44" s="1"/>
  <c r="C117" i="46"/>
  <c r="C117" i="48"/>
  <c r="C53" i="44"/>
  <c r="F54" i="44"/>
  <c r="F118" i="46"/>
  <c r="F118" i="48"/>
  <c r="J114" i="30"/>
  <c r="J116" i="30"/>
  <c r="L116" i="30" s="1"/>
  <c r="N116" i="30" s="1"/>
  <c r="L118" i="30"/>
  <c r="N118" i="30" s="1"/>
  <c r="D95" i="30"/>
  <c r="D98" i="30" s="1"/>
  <c r="N82" i="30" s="1"/>
  <c r="K85" i="30" s="1"/>
  <c r="N85" i="30" s="1"/>
  <c r="B165" i="30"/>
  <c r="J163" i="30" s="1"/>
  <c r="L163" i="30" s="1"/>
  <c r="J119" i="30"/>
  <c r="L119" i="30" s="1"/>
  <c r="N119" i="30" s="1"/>
  <c r="J120" i="30"/>
  <c r="L120" i="30" s="1"/>
  <c r="N120" i="30" s="1"/>
  <c r="J122" i="30"/>
  <c r="L122" i="30" s="1"/>
  <c r="N122" i="30" s="1"/>
  <c r="D114" i="30"/>
  <c r="H114" i="30" s="1"/>
  <c r="L114" i="30" s="1"/>
  <c r="N114" i="30" s="1"/>
  <c r="J118" i="41"/>
  <c r="L118" i="41" s="1"/>
  <c r="N118" i="41" s="1"/>
  <c r="J124" i="30"/>
  <c r="L124" i="30" s="1"/>
  <c r="N124" i="30" s="1"/>
  <c r="J115" i="30"/>
  <c r="L115" i="30" s="1"/>
  <c r="N115" i="30" s="1"/>
  <c r="J123" i="30"/>
  <c r="L123" i="30" s="1"/>
  <c r="N123" i="30" s="1"/>
  <c r="B125" i="30"/>
  <c r="D112" i="30" s="1"/>
  <c r="H112" i="30" s="1"/>
  <c r="L112" i="30" s="1"/>
  <c r="N112" i="30" s="1"/>
  <c r="C98" i="41"/>
  <c r="M82" i="41" s="1"/>
  <c r="K84" i="41" s="1"/>
  <c r="M84" i="41" s="1"/>
  <c r="B154" i="41"/>
  <c r="J115" i="41"/>
  <c r="L115" i="41" s="1"/>
  <c r="N115" i="41" s="1"/>
  <c r="J120" i="41"/>
  <c r="L120" i="41" s="1"/>
  <c r="N120" i="41" s="1"/>
  <c r="D114" i="41"/>
  <c r="H114" i="41" s="1"/>
  <c r="B125" i="41"/>
  <c r="D112" i="41" s="1"/>
  <c r="H112" i="41" s="1"/>
  <c r="L112" i="41" s="1"/>
  <c r="N112" i="41" s="1"/>
  <c r="J114" i="41"/>
  <c r="J119" i="41"/>
  <c r="L119" i="41" s="1"/>
  <c r="N119" i="41" s="1"/>
  <c r="J116" i="41"/>
  <c r="L116" i="41" s="1"/>
  <c r="N116" i="41" s="1"/>
  <c r="J123" i="41"/>
  <c r="L123" i="41" s="1"/>
  <c r="N123" i="41" s="1"/>
  <c r="J122" i="41"/>
  <c r="L122" i="41" s="1"/>
  <c r="N122" i="41" s="1"/>
  <c r="K84" i="30"/>
  <c r="J172" i="41"/>
  <c r="L172" i="41" s="1"/>
  <c r="B184" i="41"/>
  <c r="J156" i="41"/>
  <c r="L156" i="41" s="1"/>
  <c r="J177" i="41"/>
  <c r="L177" i="41" s="1"/>
  <c r="J158" i="41"/>
  <c r="L158" i="41" s="1"/>
  <c r="J157" i="41"/>
  <c r="J166" i="41"/>
  <c r="J178" i="41"/>
  <c r="L178" i="41" s="1"/>
  <c r="J168" i="41"/>
  <c r="J161" i="41"/>
  <c r="L161" i="41" s="1"/>
  <c r="J175" i="41"/>
  <c r="L175" i="41" s="1"/>
  <c r="J170" i="41"/>
  <c r="L170" i="41" s="1"/>
  <c r="J163" i="41"/>
  <c r="L163" i="41" s="1"/>
  <c r="J159" i="41"/>
  <c r="L159" i="41" s="1"/>
  <c r="J162" i="41"/>
  <c r="L162" i="41" s="1"/>
  <c r="J176" i="41"/>
  <c r="L176" i="41" s="1"/>
  <c r="J174" i="41"/>
  <c r="L174" i="41" s="1"/>
  <c r="N147" i="41"/>
  <c r="B98" i="30"/>
  <c r="J159" i="30"/>
  <c r="L159" i="30" s="1"/>
  <c r="J161" i="30"/>
  <c r="L161" i="30" s="1"/>
  <c r="B98" i="41" l="1"/>
  <c r="L82" i="41" s="1"/>
  <c r="K83" i="41" s="1"/>
  <c r="L157" i="41"/>
  <c r="P157" i="41" s="1"/>
  <c r="Q157" i="41" s="1"/>
  <c r="J170" i="30"/>
  <c r="L170" i="30" s="1"/>
  <c r="P170" i="30" s="1"/>
  <c r="Q170" i="30" s="1"/>
  <c r="J156" i="30"/>
  <c r="L156" i="30" s="1"/>
  <c r="P156" i="30" s="1"/>
  <c r="Q156" i="30" s="1"/>
  <c r="J158" i="30"/>
  <c r="L158" i="30" s="1"/>
  <c r="P158" i="30" s="1"/>
  <c r="Q158" i="30" s="1"/>
  <c r="C118" i="46"/>
  <c r="C54" i="44"/>
  <c r="D53" i="44"/>
  <c r="D54" i="44" s="1"/>
  <c r="C118" i="48"/>
  <c r="F119" i="48"/>
  <c r="F119" i="46"/>
  <c r="J162" i="30"/>
  <c r="L162" i="30" s="1"/>
  <c r="P162" i="30" s="1"/>
  <c r="Q162" i="30" s="1"/>
  <c r="J172" i="30"/>
  <c r="L172" i="30" s="1"/>
  <c r="N172" i="30" s="1"/>
  <c r="J176" i="30"/>
  <c r="L176" i="30" s="1"/>
  <c r="P176" i="30" s="1"/>
  <c r="Q176" i="30" s="1"/>
  <c r="B184" i="30"/>
  <c r="J166" i="30"/>
  <c r="J157" i="30"/>
  <c r="L157" i="30" s="1"/>
  <c r="N157" i="30" s="1"/>
  <c r="J177" i="30"/>
  <c r="L177" i="30" s="1"/>
  <c r="P177" i="30" s="1"/>
  <c r="Q177" i="30" s="1"/>
  <c r="J168" i="30"/>
  <c r="J178" i="30"/>
  <c r="L178" i="30" s="1"/>
  <c r="N178" i="30" s="1"/>
  <c r="J174" i="30"/>
  <c r="L174" i="30" s="1"/>
  <c r="N174" i="30" s="1"/>
  <c r="J175" i="30"/>
  <c r="L175" i="30" s="1"/>
  <c r="N175" i="30" s="1"/>
  <c r="N125" i="30"/>
  <c r="P112" i="30" s="1"/>
  <c r="L114" i="41"/>
  <c r="N114" i="41" s="1"/>
  <c r="N125" i="41" s="1"/>
  <c r="P115" i="41" s="1"/>
  <c r="B126" i="30"/>
  <c r="N84" i="41"/>
  <c r="B126" i="41"/>
  <c r="D179" i="30"/>
  <c r="H179" i="30" s="1"/>
  <c r="L179" i="30" s="1"/>
  <c r="G98" i="30"/>
  <c r="L82" i="30"/>
  <c r="K83" i="30" s="1"/>
  <c r="N176" i="41"/>
  <c r="P176" i="41"/>
  <c r="Q176" i="41" s="1"/>
  <c r="N178" i="41"/>
  <c r="P178" i="41"/>
  <c r="Q178" i="41" s="1"/>
  <c r="N158" i="30"/>
  <c r="N159" i="30"/>
  <c r="P159" i="30"/>
  <c r="Q159" i="30" s="1"/>
  <c r="N176" i="30"/>
  <c r="P159" i="41"/>
  <c r="Q159" i="41" s="1"/>
  <c r="N159" i="41"/>
  <c r="N161" i="41"/>
  <c r="P161" i="41"/>
  <c r="Q161" i="41" s="1"/>
  <c r="P178" i="30"/>
  <c r="Q178" i="30" s="1"/>
  <c r="N163" i="30"/>
  <c r="P163" i="30"/>
  <c r="Q163" i="30" s="1"/>
  <c r="P146" i="41"/>
  <c r="N148" i="41"/>
  <c r="O148" i="41" s="1"/>
  <c r="N149" i="41" s="1"/>
  <c r="P138" i="41"/>
  <c r="P137" i="41"/>
  <c r="D168" i="41"/>
  <c r="H168" i="41" s="1"/>
  <c r="L168" i="41" s="1"/>
  <c r="P142" i="41"/>
  <c r="P136" i="41"/>
  <c r="P141" i="41"/>
  <c r="P144" i="41"/>
  <c r="P140" i="41"/>
  <c r="P145" i="41"/>
  <c r="P170" i="41"/>
  <c r="Q170" i="41" s="1"/>
  <c r="N170" i="41"/>
  <c r="N177" i="41"/>
  <c r="P177" i="41"/>
  <c r="Q177" i="41" s="1"/>
  <c r="D179" i="41"/>
  <c r="H179" i="41" s="1"/>
  <c r="L179" i="41" s="1"/>
  <c r="N84" i="30"/>
  <c r="M84" i="30"/>
  <c r="N170" i="30"/>
  <c r="N161" i="30"/>
  <c r="P161" i="30"/>
  <c r="Q161" i="30" s="1"/>
  <c r="D168" i="30"/>
  <c r="H168" i="30" s="1"/>
  <c r="P136" i="30"/>
  <c r="P137" i="30"/>
  <c r="N148" i="30"/>
  <c r="O148" i="30" s="1"/>
  <c r="N149" i="30" s="1"/>
  <c r="P138" i="30"/>
  <c r="P142" i="30"/>
  <c r="P146" i="30"/>
  <c r="P140" i="30"/>
  <c r="P145" i="30"/>
  <c r="P141" i="30"/>
  <c r="P174" i="41"/>
  <c r="Q174" i="41" s="1"/>
  <c r="N174" i="41"/>
  <c r="P163" i="41"/>
  <c r="Q163" i="41" s="1"/>
  <c r="N163" i="41"/>
  <c r="P158" i="41"/>
  <c r="Q158" i="41" s="1"/>
  <c r="N158" i="41"/>
  <c r="P172" i="41"/>
  <c r="Q172" i="41" s="1"/>
  <c r="N172" i="41"/>
  <c r="N162" i="41"/>
  <c r="P162" i="41"/>
  <c r="Q162" i="41" s="1"/>
  <c r="N175" i="41"/>
  <c r="P175" i="41"/>
  <c r="Q175" i="41" s="1"/>
  <c r="P156" i="41"/>
  <c r="Q156" i="41" s="1"/>
  <c r="N156" i="41"/>
  <c r="N156" i="30" l="1"/>
  <c r="G98" i="41"/>
  <c r="G99" i="41" s="1"/>
  <c r="G100" i="41" s="1"/>
  <c r="B196" i="41" s="1"/>
  <c r="N157" i="41"/>
  <c r="N162" i="30"/>
  <c r="C119" i="46"/>
  <c r="C119" i="48"/>
  <c r="P157" i="30"/>
  <c r="Q157" i="30" s="1"/>
  <c r="L168" i="30"/>
  <c r="N168" i="30" s="1"/>
  <c r="P172" i="30"/>
  <c r="Q172" i="30" s="1"/>
  <c r="P120" i="30"/>
  <c r="P119" i="30"/>
  <c r="P123" i="30"/>
  <c r="P122" i="30"/>
  <c r="P174" i="30"/>
  <c r="Q174" i="30" s="1"/>
  <c r="P116" i="30"/>
  <c r="N177" i="30"/>
  <c r="P175" i="30"/>
  <c r="Q175" i="30" s="1"/>
  <c r="P115" i="30"/>
  <c r="P114" i="30"/>
  <c r="P124" i="30"/>
  <c r="P118" i="30"/>
  <c r="N126" i="30"/>
  <c r="O126" i="30" s="1"/>
  <c r="N127" i="30" s="1"/>
  <c r="N128" i="30"/>
  <c r="D166" i="30" s="1"/>
  <c r="H166" i="30" s="1"/>
  <c r="L166" i="30" s="1"/>
  <c r="N166" i="30" s="1"/>
  <c r="N128" i="41"/>
  <c r="D166" i="41" s="1"/>
  <c r="H166" i="41" s="1"/>
  <c r="L166" i="41" s="1"/>
  <c r="P166" i="41" s="1"/>
  <c r="Q166" i="41" s="1"/>
  <c r="P112" i="41"/>
  <c r="P114" i="41"/>
  <c r="P118" i="41"/>
  <c r="P116" i="41"/>
  <c r="P122" i="41"/>
  <c r="P124" i="41"/>
  <c r="P123" i="41"/>
  <c r="N126" i="41"/>
  <c r="O126" i="41" s="1"/>
  <c r="N127" i="41" s="1"/>
  <c r="P120" i="41"/>
  <c r="P119" i="41"/>
  <c r="N168" i="41"/>
  <c r="P168" i="41"/>
  <c r="Q168" i="41" s="1"/>
  <c r="N179" i="41"/>
  <c r="P179" i="41"/>
  <c r="Q179" i="41" s="1"/>
  <c r="B194" i="30"/>
  <c r="G99" i="30"/>
  <c r="G100" i="30" s="1"/>
  <c r="B196" i="30" s="1"/>
  <c r="P135" i="41"/>
  <c r="L83" i="41"/>
  <c r="N83" i="41"/>
  <c r="M83" i="41"/>
  <c r="N179" i="30"/>
  <c r="P179" i="30"/>
  <c r="Q179" i="30" s="1"/>
  <c r="P135" i="30"/>
  <c r="L83" i="30"/>
  <c r="N83" i="30"/>
  <c r="M83" i="30"/>
  <c r="B194" i="41" l="1"/>
  <c r="B197" i="41" s="1"/>
  <c r="P168" i="30"/>
  <c r="Q168" i="30" s="1"/>
  <c r="P166" i="30"/>
  <c r="Q166" i="30" s="1"/>
  <c r="P111" i="30"/>
  <c r="N166" i="41"/>
  <c r="N184" i="41" s="1"/>
  <c r="R166" i="41" s="1"/>
  <c r="P111" i="41"/>
  <c r="L194" i="30"/>
  <c r="L195" i="30" s="1"/>
  <c r="M194" i="30" s="1"/>
  <c r="F91" i="48"/>
  <c r="F91" i="46"/>
  <c r="G194" i="30"/>
  <c r="B197" i="30"/>
  <c r="B195" i="30"/>
  <c r="N184" i="30"/>
  <c r="F98" i="48"/>
  <c r="B16" i="42"/>
  <c r="B17" i="42" s="1"/>
  <c r="F93" i="46"/>
  <c r="F93" i="48"/>
  <c r="F100" i="46"/>
  <c r="F100" i="48"/>
  <c r="B21" i="42"/>
  <c r="B22" i="42" s="1"/>
  <c r="B195" i="41" l="1"/>
  <c r="F99" i="46" s="1"/>
  <c r="F98" i="46"/>
  <c r="G194" i="41"/>
  <c r="E6" i="42" s="1"/>
  <c r="L194" i="41"/>
  <c r="L195" i="41" s="1"/>
  <c r="M194" i="41" s="1"/>
  <c r="R158" i="41"/>
  <c r="R172" i="41"/>
  <c r="R170" i="41"/>
  <c r="R157" i="41"/>
  <c r="C194" i="41"/>
  <c r="C196" i="41" s="1"/>
  <c r="R162" i="41"/>
  <c r="N185" i="41"/>
  <c r="L193" i="41" s="1"/>
  <c r="R177" i="41"/>
  <c r="R174" i="41"/>
  <c r="R164" i="41"/>
  <c r="R168" i="41"/>
  <c r="R156" i="41"/>
  <c r="R163" i="41"/>
  <c r="R178" i="41"/>
  <c r="R161" i="41"/>
  <c r="R182" i="41"/>
  <c r="R179" i="41"/>
  <c r="R175" i="41"/>
  <c r="R159" i="41"/>
  <c r="R176" i="41"/>
  <c r="R181" i="41"/>
  <c r="R180" i="41"/>
  <c r="F94" i="46"/>
  <c r="F94" i="48"/>
  <c r="F99" i="48"/>
  <c r="R180" i="30"/>
  <c r="R164" i="30"/>
  <c r="N185" i="30"/>
  <c r="R181" i="30"/>
  <c r="C194" i="30"/>
  <c r="R182" i="30"/>
  <c r="R174" i="30"/>
  <c r="R175" i="30"/>
  <c r="R176" i="30"/>
  <c r="R159" i="30"/>
  <c r="R178" i="30"/>
  <c r="R172" i="30"/>
  <c r="R177" i="30"/>
  <c r="R163" i="30"/>
  <c r="R162" i="30"/>
  <c r="R161" i="30"/>
  <c r="R157" i="30"/>
  <c r="R158" i="30"/>
  <c r="R156" i="30"/>
  <c r="R170" i="30"/>
  <c r="R179" i="30"/>
  <c r="R166" i="30"/>
  <c r="R168" i="30"/>
  <c r="H194" i="30"/>
  <c r="G196" i="30"/>
  <c r="E5" i="42"/>
  <c r="G195" i="30"/>
  <c r="H195" i="30" s="1"/>
  <c r="G196" i="41"/>
  <c r="H194" i="41"/>
  <c r="G195" i="41"/>
  <c r="H195" i="41" s="1"/>
  <c r="F101" i="48"/>
  <c r="F101" i="46"/>
  <c r="F92" i="48"/>
  <c r="F92" i="46"/>
  <c r="C195" i="41" l="1"/>
  <c r="R183" i="41"/>
  <c r="O185" i="41"/>
  <c r="N186" i="41" s="1"/>
  <c r="J92" i="48"/>
  <c r="J92" i="46"/>
  <c r="C195" i="30"/>
  <c r="C196" i="30"/>
  <c r="J99" i="46"/>
  <c r="J99" i="48"/>
  <c r="J98" i="46"/>
  <c r="J98" i="48"/>
  <c r="G197" i="30"/>
  <c r="H196" i="30"/>
  <c r="L193" i="30"/>
  <c r="O185" i="30"/>
  <c r="R183" i="30"/>
  <c r="G197" i="41"/>
  <c r="H196" i="41"/>
  <c r="C197" i="41"/>
  <c r="J91" i="48"/>
  <c r="J91" i="46"/>
  <c r="D194" i="41" l="1"/>
  <c r="E194" i="41" s="1"/>
  <c r="H98" i="46" s="1"/>
  <c r="J93" i="46"/>
  <c r="H197" i="30"/>
  <c r="J93" i="48"/>
  <c r="J100" i="46"/>
  <c r="H197" i="41"/>
  <c r="J100" i="48"/>
  <c r="N187" i="41"/>
  <c r="N188" i="41"/>
  <c r="D194" i="30"/>
  <c r="E194" i="30" s="1"/>
  <c r="N186" i="30"/>
  <c r="C197" i="30"/>
  <c r="H98" i="48" l="1"/>
  <c r="E196" i="41"/>
  <c r="H100" i="48" s="1"/>
  <c r="E197" i="41"/>
  <c r="H101" i="46" s="1"/>
  <c r="E195" i="41"/>
  <c r="H99" i="48" s="1"/>
  <c r="E197" i="30"/>
  <c r="H94" i="46" s="1"/>
  <c r="E196" i="30"/>
  <c r="H93" i="46" s="1"/>
  <c r="N187" i="30"/>
  <c r="N188" i="30"/>
  <c r="J101" i="48"/>
  <c r="J101" i="46"/>
  <c r="E195" i="30"/>
  <c r="J94" i="46"/>
  <c r="J94" i="48"/>
  <c r="F6" i="42"/>
  <c r="H91" i="48"/>
  <c r="H91" i="46"/>
  <c r="F5" i="42"/>
  <c r="H100" i="46"/>
  <c r="H99" i="46" l="1"/>
  <c r="H101" i="48"/>
  <c r="H93" i="48"/>
  <c r="H94" i="48"/>
  <c r="H92" i="46"/>
  <c r="H92" i="48"/>
  <c r="G13" i="42"/>
  <c r="H13" i="42" s="1"/>
  <c r="I13" i="42" s="1"/>
  <c r="G11" i="42"/>
  <c r="H11" i="42" s="1"/>
  <c r="G5" i="42"/>
  <c r="H5" i="42" s="1"/>
  <c r="G7" i="42"/>
  <c r="H7" i="42" s="1"/>
  <c r="I7" i="42" s="1"/>
  <c r="I5" i="42" l="1"/>
  <c r="K90" i="30" s="1"/>
  <c r="I11" i="42"/>
  <c r="K98" i="48" s="1"/>
  <c r="K90" i="41" l="1"/>
  <c r="K98" i="46"/>
  <c r="G14" i="42"/>
  <c r="G8" i="42"/>
  <c r="K91" i="46"/>
  <c r="K91" i="48"/>
</calcChain>
</file>

<file path=xl/comments1.xml><?xml version="1.0" encoding="utf-8"?>
<comments xmlns="http://schemas.openxmlformats.org/spreadsheetml/2006/main">
  <authors>
    <author>STIVINSON</author>
    <author>tc={ADE7D877-6EF7-413F-B576-F6411DF3A310}</author>
  </authors>
  <commentList>
    <comment ref="M29" authorId="0" shapeId="0">
      <text>
        <r>
          <rPr>
            <b/>
            <sz val="9"/>
            <color indexed="81"/>
            <rFont val="Tahoma"/>
            <family val="2"/>
          </rPr>
          <t xml:space="preserve">CERTIFICADO: INM RVP # 5053 - 2020-12-17 </t>
        </r>
        <r>
          <rPr>
            <sz val="9"/>
            <color indexed="81"/>
            <rFont val="Tahoma"/>
            <family val="2"/>
          </rPr>
          <t xml:space="preserve">
</t>
        </r>
      </text>
    </comment>
    <comment ref="N29" authorId="0" shapeId="0">
      <text>
        <r>
          <rPr>
            <b/>
            <sz val="9"/>
            <color indexed="81"/>
            <rFont val="Tahoma"/>
            <family val="2"/>
          </rPr>
          <t>CERTIFICADO: INM RVP # 3688 2018-11-02 INM RVT # 3692 2018-11-06</t>
        </r>
        <r>
          <rPr>
            <sz val="9"/>
            <color indexed="81"/>
            <rFont val="Tahoma"/>
            <family val="2"/>
          </rPr>
          <t xml:space="preserve">
</t>
        </r>
      </text>
    </comment>
    <comment ref="Q36"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termonetro no cuenta con certificado de calibracion anterion</t>
        </r>
      </text>
    </comment>
    <comment ref="N131" authorId="0" shapeId="0">
      <text>
        <r>
          <rPr>
            <sz val="9"/>
            <color indexed="81"/>
            <rFont val="Tahoma"/>
            <family val="2"/>
          </rPr>
          <t>punto de calibración al 10% según certificado</t>
        </r>
      </text>
    </comment>
    <comment ref="O131" authorId="0" shapeId="0">
      <text>
        <r>
          <rPr>
            <b/>
            <sz val="9"/>
            <color indexed="81"/>
            <rFont val="Tahoma"/>
            <family val="2"/>
          </rPr>
          <t>punto de calibración al 10% según certificado</t>
        </r>
        <r>
          <rPr>
            <sz val="9"/>
            <color indexed="81"/>
            <rFont val="Tahoma"/>
            <family val="2"/>
          </rPr>
          <t xml:space="preserve">
</t>
        </r>
      </text>
    </comment>
    <comment ref="Q131" authorId="0" shapeId="0">
      <text>
        <r>
          <rPr>
            <b/>
            <sz val="9"/>
            <color indexed="81"/>
            <rFont val="Tahoma"/>
            <family val="2"/>
          </rPr>
          <t>punto de calibración al 50% según certificado</t>
        </r>
        <r>
          <rPr>
            <sz val="9"/>
            <color indexed="81"/>
            <rFont val="Tahoma"/>
            <family val="2"/>
          </rPr>
          <t xml:space="preserve">
</t>
        </r>
      </text>
    </comment>
    <comment ref="R131" authorId="0" shapeId="0">
      <text>
        <r>
          <rPr>
            <b/>
            <sz val="9"/>
            <color indexed="81"/>
            <rFont val="Tahoma"/>
            <family val="2"/>
          </rPr>
          <t>punto de calibración al 50% según certificado</t>
        </r>
        <r>
          <rPr>
            <sz val="9"/>
            <color indexed="81"/>
            <rFont val="Tahoma"/>
            <family val="2"/>
          </rPr>
          <t xml:space="preserve">
</t>
        </r>
      </text>
    </comment>
    <comment ref="T131" authorId="0" shapeId="0">
      <text>
        <r>
          <rPr>
            <b/>
            <sz val="9"/>
            <color indexed="81"/>
            <rFont val="Tahoma"/>
            <family val="2"/>
          </rPr>
          <t>punto de calibración al 100% según certificado</t>
        </r>
        <r>
          <rPr>
            <sz val="9"/>
            <color indexed="81"/>
            <rFont val="Tahoma"/>
            <family val="2"/>
          </rPr>
          <t xml:space="preserve">
</t>
        </r>
      </text>
    </comment>
    <comment ref="U131" authorId="0" shapeId="0">
      <text>
        <r>
          <rPr>
            <b/>
            <sz val="9"/>
            <color indexed="81"/>
            <rFont val="Tahoma"/>
            <family val="2"/>
          </rPr>
          <t>punto de calibración al 100% según certificado</t>
        </r>
        <r>
          <rPr>
            <sz val="9"/>
            <color indexed="81"/>
            <rFont val="Tahoma"/>
            <family val="2"/>
          </rPr>
          <t xml:space="preserve">
</t>
        </r>
      </text>
    </comment>
    <comment ref="R140" authorId="0" shapeId="0">
      <text>
        <r>
          <rPr>
            <sz val="9"/>
            <color indexed="81"/>
            <rFont val="Tahoma"/>
            <family val="2"/>
          </rPr>
          <t>punto de calibración al 10% según certificado</t>
        </r>
      </text>
    </comment>
    <comment ref="S140" authorId="0" shapeId="0">
      <text>
        <r>
          <rPr>
            <b/>
            <sz val="9"/>
            <color indexed="81"/>
            <rFont val="Tahoma"/>
            <family val="2"/>
          </rPr>
          <t>punto de calibración al 10% según certificado</t>
        </r>
        <r>
          <rPr>
            <sz val="9"/>
            <color indexed="81"/>
            <rFont val="Tahoma"/>
            <family val="2"/>
          </rPr>
          <t xml:space="preserve">
</t>
        </r>
      </text>
    </comment>
    <comment ref="U140" authorId="0" shapeId="0">
      <text>
        <r>
          <rPr>
            <b/>
            <sz val="9"/>
            <color indexed="81"/>
            <rFont val="Tahoma"/>
            <family val="2"/>
          </rPr>
          <t>punto de calibración al 50% según certificado</t>
        </r>
        <r>
          <rPr>
            <sz val="9"/>
            <color indexed="81"/>
            <rFont val="Tahoma"/>
            <family val="2"/>
          </rPr>
          <t xml:space="preserve">
</t>
        </r>
      </text>
    </comment>
    <comment ref="V140" authorId="0" shapeId="0">
      <text>
        <r>
          <rPr>
            <b/>
            <sz val="9"/>
            <color indexed="81"/>
            <rFont val="Tahoma"/>
            <family val="2"/>
          </rPr>
          <t>punto de calibración al 50% según certificado</t>
        </r>
        <r>
          <rPr>
            <sz val="9"/>
            <color indexed="81"/>
            <rFont val="Tahoma"/>
            <family val="2"/>
          </rPr>
          <t xml:space="preserve">
</t>
        </r>
      </text>
    </comment>
    <comment ref="X140" authorId="0" shapeId="0">
      <text>
        <r>
          <rPr>
            <b/>
            <sz val="9"/>
            <color indexed="81"/>
            <rFont val="Tahoma"/>
            <family val="2"/>
          </rPr>
          <t>punto de calibración al 100% según certificado</t>
        </r>
        <r>
          <rPr>
            <sz val="9"/>
            <color indexed="81"/>
            <rFont val="Tahoma"/>
            <family val="2"/>
          </rPr>
          <t xml:space="preserve">
</t>
        </r>
      </text>
    </comment>
    <comment ref="Y140" authorId="0" shapeId="0">
      <text>
        <r>
          <rPr>
            <b/>
            <sz val="9"/>
            <color indexed="81"/>
            <rFont val="Tahoma"/>
            <family val="2"/>
          </rPr>
          <t>punto de calibración al 100% según certificado</t>
        </r>
        <r>
          <rPr>
            <sz val="9"/>
            <color indexed="81"/>
            <rFont val="Tahoma"/>
            <family val="2"/>
          </rPr>
          <t xml:space="preserve">
</t>
        </r>
      </text>
    </comment>
  </commentList>
</comments>
</file>

<file path=xl/comments2.xml><?xml version="1.0" encoding="utf-8"?>
<comments xmlns="http://schemas.openxmlformats.org/spreadsheetml/2006/main">
  <authors>
    <author>User</author>
    <author>tc={E0498DF3-A3B2-414D-9386-98152C7579E7}</author>
    <author>Stivinson Cordoba Sanches</author>
    <author>tc={7300B130-0DE4-45FB-B8F3-2B4FE4D1D704}</author>
    <author>tc={BE5C4CC6-C1B0-4547-B304-0D884C649371}</author>
  </authors>
  <commentList>
    <comment ref="E32" authorId="0" shapeId="0">
      <text>
        <r>
          <rPr>
            <b/>
            <sz val="9"/>
            <color indexed="81"/>
            <rFont val="Tahoma"/>
            <family val="2"/>
          </rPr>
          <t>composición isotópica del agua</t>
        </r>
      </text>
    </comment>
    <comment ref="I32" authorId="0" shapeId="0">
      <text>
        <r>
          <rPr>
            <b/>
            <sz val="9"/>
            <color indexed="81"/>
            <rFont val="Tahoma"/>
            <family val="2"/>
          </rPr>
          <t>incertidumbre del modelo matemático (TANAKA)</t>
        </r>
        <r>
          <rPr>
            <sz val="9"/>
            <color indexed="81"/>
            <rFont val="Tahoma"/>
            <family val="2"/>
          </rPr>
          <t xml:space="preserve">
</t>
        </r>
      </text>
    </comment>
    <comment ref="A158"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r>
      </text>
    </comment>
    <comment ref="D158" authorId="2" shapeId="0">
      <text>
        <r>
          <rPr>
            <sz val="9"/>
            <color indexed="81"/>
            <rFont val="Tahoma"/>
            <family val="2"/>
          </rPr>
          <t xml:space="preserve">
los datos reportados de excentricidad son tomados del certificado de calibración</t>
        </r>
      </text>
    </comment>
    <comment ref="A163"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r>
      </text>
    </comment>
    <comment ref="D163" authorId="2" shapeId="0">
      <text>
        <r>
          <rPr>
            <sz val="9"/>
            <color indexed="81"/>
            <rFont val="Tahoma"/>
            <family val="2"/>
          </rPr>
          <t xml:space="preserve">
los datos reportados de excentricidad son tomados del certificado de calibración</t>
        </r>
      </text>
    </comment>
    <comment ref="C180" authorId="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GMP 3
Good Measurement Practice
for
Method of Reading a Meniscus Using Water or Other Wetting Liquid</t>
        </r>
      </text>
    </comment>
  </commentList>
</comments>
</file>

<file path=xl/comments3.xml><?xml version="1.0" encoding="utf-8"?>
<comments xmlns="http://schemas.openxmlformats.org/spreadsheetml/2006/main">
  <authors>
    <author>User</author>
    <author>tc={2C26B9BD-B82C-4B0E-8444-2F4B2F6560DA}</author>
    <author>Stivinson Cordoba Sanches</author>
    <author>tc={96F3388C-1894-4A70-A6F6-08354D6A965F}</author>
    <author>tc={79C69561-F375-4B48-88C1-6E737E79997E}</author>
  </authors>
  <commentList>
    <comment ref="E32" authorId="0" shapeId="0">
      <text>
        <r>
          <rPr>
            <b/>
            <sz val="9"/>
            <color indexed="81"/>
            <rFont val="Tahoma"/>
            <family val="2"/>
          </rPr>
          <t>composición isotópica del agua</t>
        </r>
      </text>
    </comment>
    <comment ref="I32" authorId="0" shapeId="0">
      <text>
        <r>
          <rPr>
            <b/>
            <sz val="9"/>
            <color indexed="81"/>
            <rFont val="Tahoma"/>
            <family val="2"/>
          </rPr>
          <t>incertidumbre del modelo matemático (TANAKA)</t>
        </r>
        <r>
          <rPr>
            <sz val="9"/>
            <color indexed="81"/>
            <rFont val="Tahoma"/>
            <family val="2"/>
          </rPr>
          <t xml:space="preserve">
</t>
        </r>
      </text>
    </comment>
    <comment ref="A158"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r>
      </text>
    </comment>
    <comment ref="D158" authorId="2" shapeId="0">
      <text>
        <r>
          <rPr>
            <sz val="9"/>
            <color indexed="81"/>
            <rFont val="Tahoma"/>
            <family val="2"/>
          </rPr>
          <t xml:space="preserve">
los datos reportados de excentricidad son tomados del certificado de calibración</t>
        </r>
      </text>
    </comment>
    <comment ref="A163"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r>
      </text>
    </comment>
    <comment ref="D163" authorId="2" shapeId="0">
      <text>
        <r>
          <rPr>
            <sz val="9"/>
            <color indexed="81"/>
            <rFont val="Tahoma"/>
            <family val="2"/>
          </rPr>
          <t xml:space="preserve">
los datos reportados de excentricidad son tomados del certificado de calibración</t>
        </r>
      </text>
    </comment>
    <comment ref="C180" authorId="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GMP 3
Good Measurement Practice
for
Method of Reading a Meniscus Using Water or Other Wetting Liquid</t>
        </r>
      </text>
    </comment>
  </commentList>
</comments>
</file>

<file path=xl/sharedStrings.xml><?xml version="1.0" encoding="utf-8"?>
<sst xmlns="http://schemas.openxmlformats.org/spreadsheetml/2006/main" count="2655" uniqueCount="875">
  <si>
    <t xml:space="preserve">HOJA DE CÁLCULO PARA CALIBRACIÓN  DE RECIPIENTES VOLUMÉTRICOS USANDO EL MÉTODO GRAVIMÉTRICO </t>
  </si>
  <si>
    <t>Información Inicial</t>
  </si>
  <si>
    <t>No</t>
  </si>
  <si>
    <t>Ciudad de Origen</t>
  </si>
  <si>
    <t>Fecha de Recepción          Ver RT03-F09</t>
  </si>
  <si>
    <t>Lugar y Dirección de Calibración</t>
  </si>
  <si>
    <t>Fecha de Calibración</t>
  </si>
  <si>
    <t xml:space="preserve">Código interno       LCV-XX-XXXXX          N° Radicado  </t>
  </si>
  <si>
    <t>Solicitante</t>
  </si>
  <si>
    <t>Dirección del Solicitante</t>
  </si>
  <si>
    <t>Ciudad del Solicitante</t>
  </si>
  <si>
    <t>N °  Certificado y Estampilla 
LCV-XXX-XX</t>
  </si>
  <si>
    <t>Metrólogos</t>
  </si>
  <si>
    <t>Nombre del Metrólogo</t>
  </si>
  <si>
    <t>SC</t>
  </si>
  <si>
    <t>Stivinson Córdoba Sánchez</t>
  </si>
  <si>
    <t>Sustituto del Responsable de la Dirección Técnica</t>
  </si>
  <si>
    <t>Metrólogo de Masa y Volumen</t>
  </si>
  <si>
    <t xml:space="preserve"> Recipiente Calibrado  en el  Laboratorio  SIC - (RVC)</t>
  </si>
  <si>
    <t>LH</t>
  </si>
  <si>
    <t>Luis Henry Barreto Rojas</t>
  </si>
  <si>
    <t>Responsable de la Dirección Técnica</t>
  </si>
  <si>
    <t>EA</t>
  </si>
  <si>
    <t>Elvis Aguirre Romero</t>
  </si>
  <si>
    <t>Fabricante</t>
  </si>
  <si>
    <t>Modelo</t>
  </si>
  <si>
    <t>Serie</t>
  </si>
  <si>
    <t>Temperatura de referencia (°C)</t>
  </si>
  <si>
    <t>Capacidad Nominal</t>
  </si>
  <si>
    <t>División de escala ( mL )</t>
  </si>
  <si>
    <t>Resolución ( mL )</t>
  </si>
  <si>
    <r>
      <t>Coeficiente cubico de expansión térmico del material (°C</t>
    </r>
    <r>
      <rPr>
        <b/>
        <vertAlign val="superscript"/>
        <sz val="12"/>
        <rFont val="Arial"/>
        <family val="2"/>
      </rPr>
      <t>-1</t>
    </r>
    <r>
      <rPr>
        <b/>
        <sz val="12"/>
        <rFont val="Arial"/>
        <family val="2"/>
      </rPr>
      <t>)</t>
    </r>
  </si>
  <si>
    <t>Diámetro interno del cuello (cm)</t>
  </si>
  <si>
    <t>Ancho de los trazos de la escala (cm)</t>
  </si>
  <si>
    <r>
      <t>Coeficiente cubico de expansión térmico del material (IP)  ( °C</t>
    </r>
    <r>
      <rPr>
        <b/>
        <vertAlign val="superscript"/>
        <sz val="12"/>
        <rFont val="Arial"/>
        <family val="2"/>
      </rPr>
      <t>-1</t>
    </r>
    <r>
      <rPr>
        <b/>
        <sz val="12"/>
        <rFont val="Arial"/>
        <family val="2"/>
      </rPr>
      <t>)</t>
    </r>
  </si>
  <si>
    <t>°C</t>
  </si>
  <si>
    <t>L</t>
  </si>
  <si>
    <t>5 mL</t>
  </si>
  <si>
    <t>Mediciones (cm)</t>
  </si>
  <si>
    <t>Equipos Patrón</t>
  </si>
  <si>
    <t>RVP Código Interno</t>
  </si>
  <si>
    <t>Temperatura de referencia °C</t>
  </si>
  <si>
    <t>Capacidad Nominal en  " gal "</t>
  </si>
  <si>
    <t>División de escala  (mL)</t>
  </si>
  <si>
    <t>Resolución (mL)</t>
  </si>
  <si>
    <r>
      <t>Coeficiente cubico de expansión térmico del material ( °C</t>
    </r>
    <r>
      <rPr>
        <b/>
        <vertAlign val="superscript"/>
        <sz val="12"/>
        <rFont val="Arial"/>
        <family val="2"/>
      </rPr>
      <t>-1</t>
    </r>
    <r>
      <rPr>
        <b/>
        <sz val="12"/>
        <rFont val="Arial"/>
        <family val="2"/>
      </rPr>
      <t>)</t>
    </r>
  </si>
  <si>
    <t>Ancho de los trazos de la escala (mm)</t>
  </si>
  <si>
    <t>Coeficiente cubico de expansión térmico del material (IP)</t>
  </si>
  <si>
    <t>CONDICIONES AMBIENTALES</t>
  </si>
  <si>
    <t>V-005</t>
  </si>
  <si>
    <t>Serhapin test Measure</t>
  </si>
  <si>
    <t>Series "M"</t>
  </si>
  <si>
    <t xml:space="preserve">16-5935702    C-I V-005         </t>
  </si>
  <si>
    <t>V-001</t>
  </si>
  <si>
    <t>E3</t>
  </si>
  <si>
    <t>14-92812 C-I V-001</t>
  </si>
  <si>
    <t>MAX °C</t>
  </si>
  <si>
    <t>MIN °C</t>
  </si>
  <si>
    <t>MAX % hr</t>
  </si>
  <si>
    <t>MIN % hr</t>
  </si>
  <si>
    <t>MAX hPa</t>
  </si>
  <si>
    <t>MIN hPa</t>
  </si>
  <si>
    <t>ANTES</t>
  </si>
  <si>
    <t>Unidades en   ( mL )</t>
  </si>
  <si>
    <t>DESPUÉS</t>
  </si>
  <si>
    <t>Recipientes Volumétricos Patrón</t>
  </si>
  <si>
    <t>Identificación / Serie</t>
  </si>
  <si>
    <t>Capacidad (Según Certificado)</t>
  </si>
  <si>
    <t>División de Escala / Resolución</t>
  </si>
  <si>
    <t>Corrección (Según Certificado)</t>
  </si>
  <si>
    <t>Incertidumbre del Certificado</t>
  </si>
  <si>
    <t>Factor de Cobertura (Según Certificado)</t>
  </si>
  <si>
    <t>Trazabilidad y numero</t>
  </si>
  <si>
    <t>Volumen (L) actual según certificado</t>
  </si>
  <si>
    <t>Volumen (L) anterior según certificado</t>
  </si>
  <si>
    <t>Deriva (mL)</t>
  </si>
  <si>
    <t>Unidades en  " °C "</t>
  </si>
  <si>
    <t>Indicación (Según Certificado)</t>
  </si>
  <si>
    <t>°C "m" Pendiente</t>
  </si>
  <si>
    <t>°C "b" Intersección</t>
  </si>
  <si>
    <t>Puntos de calibración</t>
  </si>
  <si>
    <t>Puntos de calibración Actual (°C)</t>
  </si>
  <si>
    <t>Puntos de calibración Anterior (°C)</t>
  </si>
  <si>
    <t>Deriva °C</t>
  </si>
  <si>
    <t>Termómetro utilizado en el liquido del RVC</t>
  </si>
  <si>
    <t>V-004  
 Punto 1</t>
  </si>
  <si>
    <t xml:space="preserve">Lufft </t>
  </si>
  <si>
    <t xml:space="preserve">004,0816,1212,006 / pt 347980,002     </t>
  </si>
  <si>
    <t>V-004   
Punto 2</t>
  </si>
  <si>
    <t>C-I V-004</t>
  </si>
  <si>
    <t>V-004  
 Punto 3</t>
  </si>
  <si>
    <t>V-004   
Punto 4</t>
  </si>
  <si>
    <t xml:space="preserve">004,0816,1212,006 / pt 347980,002    </t>
  </si>
  <si>
    <t>V-004  
 Punto 5</t>
  </si>
  <si>
    <t>V-009    Punto 1</t>
  </si>
  <si>
    <t>YOWEXA</t>
  </si>
  <si>
    <t>Indicador: 21073057
Sensor:5239-1</t>
  </si>
  <si>
    <t>INM 5859</t>
  </si>
  <si>
    <t>V-009    Punto 2</t>
  </si>
  <si>
    <t>C-I V-009</t>
  </si>
  <si>
    <t>V-009    Punto 3</t>
  </si>
  <si>
    <t>V-009    Punto 4</t>
  </si>
  <si>
    <t>V-009    Punto 5</t>
  </si>
  <si>
    <t>V-010  
 Punto 1</t>
  </si>
  <si>
    <t xml:space="preserve">Indicador: 21073055
Sensor:5239-3   </t>
  </si>
  <si>
    <t>INM 5861</t>
  </si>
  <si>
    <t>V-010   
Punto 2</t>
  </si>
  <si>
    <t>C-I V-010</t>
  </si>
  <si>
    <t>V-010  
 Punto 3</t>
  </si>
  <si>
    <t>V-010   
Punto 4</t>
  </si>
  <si>
    <t>V-010  
 Punto 5</t>
  </si>
  <si>
    <t>V-011  
 Punto 1</t>
  </si>
  <si>
    <t xml:space="preserve">Indicador: 21073067
Sensor:5239-5   </t>
  </si>
  <si>
    <t>INM 5862</t>
  </si>
  <si>
    <t>V-011   
Punto 2</t>
  </si>
  <si>
    <t>C-I V-011</t>
  </si>
  <si>
    <t>V-011  
 Punto 3</t>
  </si>
  <si>
    <t>V-011   
Punto 4</t>
  </si>
  <si>
    <t>V-011  
 Punto 5</t>
  </si>
  <si>
    <t>Patrón Utilizado en la Calibración - Termo higrómetros</t>
  </si>
  <si>
    <r>
      <t xml:space="preserve">Unidades en   " °C ,  %hr  </t>
    </r>
    <r>
      <rPr>
        <sz val="14"/>
        <color theme="0"/>
        <rFont val="Arial"/>
        <family val="2"/>
      </rPr>
      <t>y</t>
    </r>
    <r>
      <rPr>
        <b/>
        <sz val="14"/>
        <color theme="0"/>
        <rFont val="Arial"/>
        <family val="2"/>
      </rPr>
      <t xml:space="preserve"> hPa " </t>
    </r>
    <r>
      <rPr>
        <sz val="14"/>
        <color theme="0"/>
        <rFont val="Arial"/>
        <family val="2"/>
      </rPr>
      <t xml:space="preserve"> según corresponda</t>
    </r>
  </si>
  <si>
    <t>Código Interno</t>
  </si>
  <si>
    <t>Temperatura</t>
  </si>
  <si>
    <t xml:space="preserve">  V-002  
Punto 1 "°C"</t>
  </si>
  <si>
    <t>Lufft</t>
  </si>
  <si>
    <t>0,23.0714.0802.024 C-I V-002</t>
  </si>
  <si>
    <t xml:space="preserve">  V-002  
Punto 2 "°C"</t>
  </si>
  <si>
    <t>V-002</t>
  </si>
  <si>
    <t>%hr</t>
  </si>
  <si>
    <t>hPa</t>
  </si>
  <si>
    <t xml:space="preserve">  V-002  
Punto 3 "°C"</t>
  </si>
  <si>
    <t>Humedad</t>
  </si>
  <si>
    <t xml:space="preserve">  V-002  
Punto 1 "% hr"</t>
  </si>
  <si>
    <t xml:space="preserve">  V-002  
Punto 2 "%hr"</t>
  </si>
  <si>
    <t xml:space="preserve">  V-002  
Punto 3 "%hr"</t>
  </si>
  <si>
    <t>Presión Atmosférica</t>
  </si>
  <si>
    <t xml:space="preserve">  M-010  
Punto 1 "°C"</t>
  </si>
  <si>
    <t>0,26.0714.0802.024 C-I M-010</t>
  </si>
  <si>
    <t xml:space="preserve">M-010 </t>
  </si>
  <si>
    <t xml:space="preserve">  M-010  
Punto 2 "°C"</t>
  </si>
  <si>
    <t xml:space="preserve">  M-010  
Punto 3 "°C"</t>
  </si>
  <si>
    <t xml:space="preserve">  M-010  
Punto 1 "% hr"</t>
  </si>
  <si>
    <t xml:space="preserve">  M-010  
Punto 2 "%hr"</t>
  </si>
  <si>
    <t xml:space="preserve">   M-010  
Punto 3 "%hr"</t>
  </si>
  <si>
    <t>2021-05-31</t>
  </si>
  <si>
    <t>INM 2148</t>
  </si>
  <si>
    <t xml:space="preserve">  M-011  
Punto 1 "°C"</t>
  </si>
  <si>
    <t>0,22.0714.0802.024 C-I M-011</t>
  </si>
  <si>
    <t>2022-05-23</t>
  </si>
  <si>
    <t>INM 5912</t>
  </si>
  <si>
    <t xml:space="preserve">M-011  </t>
  </si>
  <si>
    <t xml:space="preserve">  M-011  
Punto 2 "°C"</t>
  </si>
  <si>
    <t xml:space="preserve">  M-011  
Punto 3 "°C"</t>
  </si>
  <si>
    <t xml:space="preserve">  M-011  
Punto 1 "% hr"</t>
  </si>
  <si>
    <t>2021-05-17</t>
  </si>
  <si>
    <t>INM 5913</t>
  </si>
  <si>
    <t xml:space="preserve">  M-011  
Punto 2 "%hr"</t>
  </si>
  <si>
    <t xml:space="preserve">  M-011  
Punto 3 "%hr"</t>
  </si>
  <si>
    <t>INM 5239</t>
  </si>
  <si>
    <t>INM 1997</t>
  </si>
  <si>
    <t>INM 2147</t>
  </si>
  <si>
    <t xml:space="preserve">  M-012  
Punto 1 "°C"</t>
  </si>
  <si>
    <t>19506160802033 C-I M-012</t>
  </si>
  <si>
    <t>M-012</t>
  </si>
  <si>
    <t xml:space="preserve">  M-012  
Punto 2 "°C"</t>
  </si>
  <si>
    <t xml:space="preserve">  M-012  
Punto 3 "°C"</t>
  </si>
  <si>
    <t xml:space="preserve">  M-012  
Punto 1 "% hr"</t>
  </si>
  <si>
    <t xml:space="preserve">  M-012  
Punto 2 "%hr"</t>
  </si>
  <si>
    <t xml:space="preserve">  M-012  
Punto 3 "%hr"</t>
  </si>
  <si>
    <t xml:space="preserve">  M-013  
Punto 1 "°C"</t>
  </si>
  <si>
    <t>19406160802033 C-I M-013</t>
  </si>
  <si>
    <t>M-013</t>
  </si>
  <si>
    <t xml:space="preserve">  M-013  
Punto 2 "°C"</t>
  </si>
  <si>
    <t xml:space="preserve">  M-013  
Punto 3 "°C"</t>
  </si>
  <si>
    <t xml:space="preserve">  M-013  
Punto 1 "% hr"</t>
  </si>
  <si>
    <t xml:space="preserve">  M-013  
Punto 2 "%hr"</t>
  </si>
  <si>
    <t xml:space="preserve">  M-013  
Punto 3 "%hr"</t>
  </si>
  <si>
    <t>CDT CERT-16-EMP-1057-2567</t>
  </si>
  <si>
    <t>% hr</t>
  </si>
  <si>
    <t>% hr "m" Pendiente</t>
  </si>
  <si>
    <t>% hr "b" Intersección</t>
  </si>
  <si>
    <t>hPa "m" Pendiente</t>
  </si>
  <si>
    <t>hPa "b" Intersección</t>
  </si>
  <si>
    <t>Unidades en    " mL"</t>
  </si>
  <si>
    <t>Pipetas</t>
  </si>
  <si>
    <t>Trazabilidad y número</t>
  </si>
  <si>
    <t>Intervalo de Medida</t>
  </si>
  <si>
    <t>Puntos de calibración Actual (mL) al 10%</t>
  </si>
  <si>
    <t>Puntos de calibración Anterior (mL) al 10%</t>
  </si>
  <si>
    <t xml:space="preserve">Puntos de calibración Actual (mL) al 50% </t>
  </si>
  <si>
    <t>Puntos de calibración Anterior (mL) al 50%</t>
  </si>
  <si>
    <t>Puntos de calibración Actual (mL) al 100%</t>
  </si>
  <si>
    <t>Puntos de calibración Anterior (mL) al 100%</t>
  </si>
  <si>
    <t>Máxima Deriva (mL)</t>
  </si>
  <si>
    <t>Verificación de Escala</t>
  </si>
  <si>
    <t>Material del Recipiente Volumétrico</t>
  </si>
  <si>
    <r>
      <t>Intervalo de la escala RV en  ±  1 %, ± 10 in</t>
    </r>
    <r>
      <rPr>
        <b/>
        <vertAlign val="superscript"/>
        <sz val="14"/>
        <rFont val="Arial"/>
        <family val="2"/>
      </rPr>
      <t>3</t>
    </r>
  </si>
  <si>
    <t>AUX V-18</t>
  </si>
  <si>
    <t>Brand</t>
  </si>
  <si>
    <t>V-9521</t>
  </si>
  <si>
    <t>0,5  mL a 5 mL</t>
  </si>
  <si>
    <r>
      <t xml:space="preserve">División de Escala  in </t>
    </r>
    <r>
      <rPr>
        <vertAlign val="superscript"/>
        <sz val="12"/>
        <rFont val="Arial"/>
        <family val="2"/>
      </rPr>
      <t>3</t>
    </r>
  </si>
  <si>
    <t># de Espacios</t>
  </si>
  <si>
    <t>mL</t>
  </si>
  <si>
    <t>Coeficiente cubico de expansión térmico del material ( °C-1)</t>
  </si>
  <si>
    <t>1/°C</t>
  </si>
  <si>
    <t>AUX V-2</t>
  </si>
  <si>
    <t>INM 5769</t>
  </si>
  <si>
    <t>0 mL a 5 mL</t>
  </si>
  <si>
    <t>Aceros Euramet cg 21 tabla 1</t>
  </si>
  <si>
    <t>AUX V-020</t>
  </si>
  <si>
    <t>V-9523</t>
  </si>
  <si>
    <t>0 mL a 10mL</t>
  </si>
  <si>
    <r>
      <t>0,25 in</t>
    </r>
    <r>
      <rPr>
        <vertAlign val="superscript"/>
        <sz val="12"/>
        <rFont val="Arial"/>
        <family val="2"/>
      </rPr>
      <t>3</t>
    </r>
  </si>
  <si>
    <t>AUX V-4</t>
  </si>
  <si>
    <t>INM 5897</t>
  </si>
  <si>
    <t>0 mL a 10 mL</t>
  </si>
  <si>
    <r>
      <t>0,5 in</t>
    </r>
    <r>
      <rPr>
        <vertAlign val="superscript"/>
        <sz val="12"/>
        <rFont val="Arial"/>
        <family val="2"/>
      </rPr>
      <t>3</t>
    </r>
  </si>
  <si>
    <t>AUX V-5</t>
  </si>
  <si>
    <t>INM 5894</t>
  </si>
  <si>
    <t>0 mL a 25 mL</t>
  </si>
  <si>
    <r>
      <t>1 in</t>
    </r>
    <r>
      <rPr>
        <vertAlign val="superscript"/>
        <sz val="12"/>
        <rFont val="Arial"/>
        <family val="2"/>
      </rPr>
      <t>3</t>
    </r>
  </si>
  <si>
    <t>Probetas</t>
  </si>
  <si>
    <t>Identificación / serie</t>
  </si>
  <si>
    <t>Nominal</t>
  </si>
  <si>
    <t>Según certificado  punto Mínimo</t>
  </si>
  <si>
    <t>Según certificado  punto Máximo</t>
  </si>
  <si>
    <t>AUX V-6</t>
  </si>
  <si>
    <t>Simax</t>
  </si>
  <si>
    <t xml:space="preserve">MLP - 01          </t>
  </si>
  <si>
    <t>100.69</t>
  </si>
  <si>
    <t>INM 5715</t>
  </si>
  <si>
    <t>10 mL a 100mL</t>
  </si>
  <si>
    <t>AUX V-7</t>
  </si>
  <si>
    <t>INM 5819</t>
  </si>
  <si>
    <t>50 mL a 500 mL</t>
  </si>
  <si>
    <t>AUX V-34</t>
  </si>
  <si>
    <t>INM 1851</t>
  </si>
  <si>
    <t>AUX V-9</t>
  </si>
  <si>
    <t>INM 5818</t>
  </si>
  <si>
    <t>AUX V-10</t>
  </si>
  <si>
    <t>INM 5804</t>
  </si>
  <si>
    <t>AUX V-11</t>
  </si>
  <si>
    <t>INM 5826</t>
  </si>
  <si>
    <t>100 mL a 1000 mL</t>
  </si>
  <si>
    <t>Unidades en    " s "</t>
  </si>
  <si>
    <t>Cronómetros</t>
  </si>
  <si>
    <t>AUX V-14</t>
  </si>
  <si>
    <t>Resee</t>
  </si>
  <si>
    <t>CMK-TFA-19398</t>
  </si>
  <si>
    <t>Unidades en    " mm "</t>
  </si>
  <si>
    <t>Pie de Rey "puntas de interiores"</t>
  </si>
  <si>
    <t>AUX V-13 
Punto 5</t>
  </si>
  <si>
    <t>Mitutoyo</t>
  </si>
  <si>
    <t>INM  5773</t>
  </si>
  <si>
    <t>AUX V-13 
Punto 20</t>
  </si>
  <si>
    <t>AUX V-13 
Punto 50</t>
  </si>
  <si>
    <t>AUX V-13 
Punto 70</t>
  </si>
  <si>
    <t>AUX V-13 
Punto 100</t>
  </si>
  <si>
    <t>AUX V-13 
Punto 150</t>
  </si>
  <si>
    <t>AUX V-13
 Punto 200</t>
  </si>
  <si>
    <t>Pie de Rey "puntas de exteriores"</t>
  </si>
  <si>
    <t>AUX V-13 
Punto 200</t>
  </si>
  <si>
    <t>Unidades en  " g "</t>
  </si>
  <si>
    <t>Indicación (Según Certificado en g)</t>
  </si>
  <si>
    <t>División de Escala / Resolución (en "g")</t>
  </si>
  <si>
    <t>g "m" Pendiente</t>
  </si>
  <si>
    <t>g "b" Intersección</t>
  </si>
  <si>
    <t>Puntos de calibración Actual (g)</t>
  </si>
  <si>
    <t>Puntos de calibración Anterior (g)</t>
  </si>
  <si>
    <t>Deriva g</t>
  </si>
  <si>
    <t>Excentricidad según certificado</t>
  </si>
  <si>
    <t>balanza digital de 8100 g</t>
  </si>
  <si>
    <t>V-007   
100* g</t>
  </si>
  <si>
    <t>RADWAG</t>
  </si>
  <si>
    <t>V-007</t>
  </si>
  <si>
    <t>V-007   
200* g</t>
  </si>
  <si>
    <t>Balanza V-007</t>
  </si>
  <si>
    <t>V-007
500 g</t>
  </si>
  <si>
    <t>V-007
 1 000 g</t>
  </si>
  <si>
    <t>V-007 
 1 500 g</t>
  </si>
  <si>
    <t>V-007  
 2 000 g</t>
  </si>
  <si>
    <t>V-007  
3 500 g</t>
  </si>
  <si>
    <t>V-007  
5 000* g</t>
  </si>
  <si>
    <t>V-007
6 500 g</t>
  </si>
  <si>
    <t>V-007 
8 100 g</t>
  </si>
  <si>
    <t>balanza digital de 60 kg</t>
  </si>
  <si>
    <t>V-008  
100 g</t>
  </si>
  <si>
    <t>VIBRA</t>
  </si>
  <si>
    <t>V-008</t>
  </si>
  <si>
    <t>V-008  
200 g</t>
  </si>
  <si>
    <t>Balanza V-008</t>
  </si>
  <si>
    <t>V-008 
5 000 g</t>
  </si>
  <si>
    <t>V-008
 10 000 g</t>
  </si>
  <si>
    <t>V-008   
 15 000 g</t>
  </si>
  <si>
    <t>V-008 
 20 000 g</t>
  </si>
  <si>
    <t>V-008
25 000 g</t>
  </si>
  <si>
    <t>V-008
35 000 g</t>
  </si>
  <si>
    <t>V-008  
50 000 g</t>
  </si>
  <si>
    <t>V-008   
60 000 g</t>
  </si>
  <si>
    <r>
      <t>Unidad en  " g/cm</t>
    </r>
    <r>
      <rPr>
        <b/>
        <vertAlign val="superscript"/>
        <sz val="14"/>
        <color theme="0"/>
        <rFont val="Arial"/>
        <family val="2"/>
      </rPr>
      <t>3</t>
    </r>
    <r>
      <rPr>
        <b/>
        <sz val="14"/>
        <color theme="0"/>
        <rFont val="Arial"/>
        <family val="2"/>
      </rPr>
      <t xml:space="preserve"> "</t>
    </r>
  </si>
  <si>
    <r>
      <t>Indicación (Según Certificado en "g/cm</t>
    </r>
    <r>
      <rPr>
        <b/>
        <vertAlign val="superscript"/>
        <sz val="12"/>
        <rFont val="Arial"/>
        <family val="2"/>
      </rPr>
      <t>3</t>
    </r>
    <r>
      <rPr>
        <b/>
        <sz val="12"/>
        <rFont val="Arial"/>
        <family val="2"/>
      </rPr>
      <t>")</t>
    </r>
  </si>
  <si>
    <r>
      <t>División de Escala / Resolución (en "g/cm</t>
    </r>
    <r>
      <rPr>
        <b/>
        <vertAlign val="superscript"/>
        <sz val="12"/>
        <rFont val="Arial"/>
        <family val="2"/>
      </rPr>
      <t>3</t>
    </r>
    <r>
      <rPr>
        <b/>
        <sz val="12"/>
        <rFont val="Arial"/>
        <family val="2"/>
      </rPr>
      <t>")</t>
    </r>
  </si>
  <si>
    <r>
      <t>"g/cm</t>
    </r>
    <r>
      <rPr>
        <b/>
        <vertAlign val="superscript"/>
        <sz val="12"/>
        <rFont val="Arial"/>
        <family val="2"/>
      </rPr>
      <t>3</t>
    </r>
    <r>
      <rPr>
        <b/>
        <sz val="12"/>
        <rFont val="Arial"/>
        <family val="2"/>
      </rPr>
      <t>" "m" Pendiente</t>
    </r>
  </si>
  <si>
    <r>
      <t>"g/cm</t>
    </r>
    <r>
      <rPr>
        <b/>
        <vertAlign val="superscript"/>
        <sz val="12"/>
        <rFont val="Arial"/>
        <family val="2"/>
      </rPr>
      <t>3</t>
    </r>
    <r>
      <rPr>
        <b/>
        <sz val="12"/>
        <rFont val="Arial"/>
        <family val="2"/>
      </rPr>
      <t>" "b" Intersección</t>
    </r>
  </si>
  <si>
    <r>
      <t>Deriva "g/cm</t>
    </r>
    <r>
      <rPr>
        <vertAlign val="superscript"/>
        <sz val="12"/>
        <rFont val="Arial"/>
        <family val="2"/>
      </rPr>
      <t>3</t>
    </r>
    <r>
      <rPr>
        <sz val="12"/>
        <rFont val="Arial"/>
        <family val="2"/>
      </rPr>
      <t>"</t>
    </r>
  </si>
  <si>
    <t>Densidad Pesas</t>
  </si>
  <si>
    <t>Densidad de las pesas</t>
  </si>
  <si>
    <r>
      <t>ρ</t>
    </r>
    <r>
      <rPr>
        <vertAlign val="subscript"/>
        <sz val="12"/>
        <rFont val="Calibri"/>
        <family val="2"/>
      </rPr>
      <t>B</t>
    </r>
  </si>
  <si>
    <t>XX</t>
  </si>
  <si>
    <t>N/A</t>
  </si>
  <si>
    <r>
      <t>Composición isotópica (en "g/cm</t>
    </r>
    <r>
      <rPr>
        <b/>
        <vertAlign val="superscript"/>
        <sz val="12"/>
        <rFont val="Arial"/>
        <family val="2"/>
      </rPr>
      <t>3</t>
    </r>
    <r>
      <rPr>
        <b/>
        <sz val="12"/>
        <rFont val="Arial"/>
        <family val="2"/>
      </rPr>
      <t>")</t>
    </r>
  </si>
  <si>
    <t>Densidad agua</t>
  </si>
  <si>
    <t>Densidad del agua</t>
  </si>
  <si>
    <t>ρw</t>
  </si>
  <si>
    <t>Ecuación de TANAKA</t>
  </si>
  <si>
    <t>agua grado III</t>
  </si>
  <si>
    <t>Datos de las Pesas Patrón</t>
  </si>
  <si>
    <t>Pesas</t>
  </si>
  <si>
    <t>Clase</t>
  </si>
  <si>
    <t>Serial</t>
  </si>
  <si>
    <t>Marcación</t>
  </si>
  <si>
    <t>Certificado Actual</t>
  </si>
  <si>
    <t>Fecha de calibración Actual</t>
  </si>
  <si>
    <t>Valor Nominal (g)</t>
  </si>
  <si>
    <t>Error (mg) Año Actual</t>
  </si>
  <si>
    <t>Masa Convencional Actual (g)</t>
  </si>
  <si>
    <t>Viajeras 2  M-016</t>
  </si>
  <si>
    <t xml:space="preserve">V 2 RL.  1 g  </t>
  </si>
  <si>
    <t>F 1</t>
  </si>
  <si>
    <t>Rice Lake</t>
  </si>
  <si>
    <t>No identificado</t>
  </si>
  <si>
    <t>No porta</t>
  </si>
  <si>
    <t xml:space="preserve">V 2 RL. 2 g  </t>
  </si>
  <si>
    <t xml:space="preserve">V 2 RL.  2 g punto </t>
  </si>
  <si>
    <t>punto</t>
  </si>
  <si>
    <t xml:space="preserve">V 2 RL.  5 g  </t>
  </si>
  <si>
    <t>Instrumento</t>
  </si>
  <si>
    <t>Intervalo de medida</t>
  </si>
  <si>
    <t>No. de Serie</t>
  </si>
  <si>
    <t>Trazabilidad</t>
  </si>
  <si>
    <t xml:space="preserve">V 2 RL.  10 g  </t>
  </si>
  <si>
    <t>Instrumento de pesaje de funcionamiento no automático-IPFNA</t>
  </si>
  <si>
    <t xml:space="preserve">V 2 RL.  20 g  </t>
  </si>
  <si>
    <t>Termómetro digital con PRT Pt100</t>
  </si>
  <si>
    <t xml:space="preserve">V 2 RL. 20 g punto </t>
  </si>
  <si>
    <t>Termohigrómetro</t>
  </si>
  <si>
    <t xml:space="preserve">
Temperatura: -20 °C a 50 °C
Humedad Relativa: 0 %hr a 100 %hr
Presión aire: 300 hPa a 1 100 hPa</t>
  </si>
  <si>
    <t xml:space="preserve">V 2 RL. 50 g  </t>
  </si>
  <si>
    <t>Agua grado 3</t>
  </si>
  <si>
    <t>Laboratorio SIC.</t>
  </si>
  <si>
    <t xml:space="preserve">V 2 RL.  100 g  </t>
  </si>
  <si>
    <t xml:space="preserve">V 2 RL.  200 g  </t>
  </si>
  <si>
    <t xml:space="preserve">V 2 RL.  200 g punto </t>
  </si>
  <si>
    <t xml:space="preserve">V 2 RL.  500 g  </t>
  </si>
  <si>
    <t xml:space="preserve">V 2 RL.  1 000 g  </t>
  </si>
  <si>
    <t xml:space="preserve">V 2 RL.  2 000 g  </t>
  </si>
  <si>
    <t xml:space="preserve">V 2 RL.  2 000 g punto </t>
  </si>
  <si>
    <t xml:space="preserve">V 2 RL.  4 000 g </t>
  </si>
  <si>
    <t xml:space="preserve">V 2 RL.  5 000 g  </t>
  </si>
  <si>
    <t xml:space="preserve">V 2 RL.  6 000 g  </t>
  </si>
  <si>
    <t xml:space="preserve">V 2 RL.  7 500 g  </t>
  </si>
  <si>
    <t>F 2</t>
  </si>
  <si>
    <t xml:space="preserve">V 2 RL.  8 200 g  </t>
  </si>
  <si>
    <t>Nuevos</t>
  </si>
  <si>
    <t xml:space="preserve">E2 20 kg </t>
  </si>
  <si>
    <t>E2</t>
  </si>
  <si>
    <t>Kern</t>
  </si>
  <si>
    <t>G 1938658</t>
  </si>
  <si>
    <t>F1 20 kg</t>
  </si>
  <si>
    <t>F1</t>
  </si>
  <si>
    <t>G 1934093</t>
  </si>
  <si>
    <t>F1 20 kg A</t>
  </si>
  <si>
    <t>G 1934095</t>
  </si>
  <si>
    <t>20 A</t>
  </si>
  <si>
    <t>F1 20 kg B</t>
  </si>
  <si>
    <t>G 1934094</t>
  </si>
  <si>
    <t>20 B</t>
  </si>
  <si>
    <t>F1 10 kg C</t>
  </si>
  <si>
    <t>Accurate</t>
  </si>
  <si>
    <t>10 C</t>
  </si>
  <si>
    <t>F1 10 kg D</t>
  </si>
  <si>
    <t>10 D</t>
  </si>
  <si>
    <t>F1 5 kg E</t>
  </si>
  <si>
    <t>5 E</t>
  </si>
  <si>
    <t>F1 10 kg C - F1 5 kg E</t>
  </si>
  <si>
    <t>1913624 -1913622</t>
  </si>
  <si>
    <t>10 C - 5 E</t>
  </si>
  <si>
    <t>5264 - 5266</t>
  </si>
  <si>
    <t>03/06/2021 08/06/2021</t>
  </si>
  <si>
    <t>F1 20 kg B - F1 5 kg E</t>
  </si>
  <si>
    <t>Kern - Accurate</t>
  </si>
  <si>
    <t>G 1934094 - 1913622</t>
  </si>
  <si>
    <t>20 B - 5 E</t>
  </si>
  <si>
    <t>5411 - 5266</t>
  </si>
  <si>
    <t>02/09/2021 08/06/2021</t>
  </si>
  <si>
    <t>F1 20 kg B - F1 10 kg C - F1 5 kg E</t>
  </si>
  <si>
    <t>G 1934094 - 1913623 - 1913624</t>
  </si>
  <si>
    <t>20 B - 10 C - 5 E</t>
  </si>
  <si>
    <t>5411 - 5264 - 5266</t>
  </si>
  <si>
    <t>02/09/2021 03/06/2021 08/06/2021</t>
  </si>
  <si>
    <t>F1 20 kg - F1 20 kg A - F1 20 kg B</t>
  </si>
  <si>
    <t>G 1934093 - G 1934095 - G 1934094</t>
  </si>
  <si>
    <t>20 - 20 A - 20 B</t>
  </si>
  <si>
    <t>5408 - 5410 - 5411</t>
  </si>
  <si>
    <t>02/09/2021 02/09/2021 02/09/2021</t>
  </si>
  <si>
    <t>Ciudad</t>
  </si>
  <si>
    <t>Fecha de Ingreso</t>
  </si>
  <si>
    <t>Código interno</t>
  </si>
  <si>
    <t>Lugar de Calibración</t>
  </si>
  <si>
    <t>Calibración N°</t>
  </si>
  <si>
    <t>DATOS DE LOS PATRONES</t>
  </si>
  <si>
    <t>NOMBRE</t>
  </si>
  <si>
    <t>Identificación/  
Serie</t>
  </si>
  <si>
    <t>Indicación            (Según Certificado)</t>
  </si>
  <si>
    <t>Unidad</t>
  </si>
  <si>
    <t xml:space="preserve">Deriva </t>
  </si>
  <si>
    <t>Incertidumbre Estándar Global</t>
  </si>
  <si>
    <t>Incertidumbre Excentricidad</t>
  </si>
  <si>
    <r>
      <t>g/cm</t>
    </r>
    <r>
      <rPr>
        <vertAlign val="superscript"/>
        <sz val="12"/>
        <rFont val="Arial"/>
        <family val="2"/>
      </rPr>
      <t>3</t>
    </r>
  </si>
  <si>
    <t>Termómetro (RVC)</t>
  </si>
  <si>
    <t xml:space="preserve">°C </t>
  </si>
  <si>
    <t>g</t>
  </si>
  <si>
    <t>hpa</t>
  </si>
  <si>
    <t>Tipo de agua</t>
  </si>
  <si>
    <t xml:space="preserve">Pipeta </t>
  </si>
  <si>
    <t>Intervalos Nominal (Mín. y Máx.)</t>
  </si>
  <si>
    <t>Según indica certificado Mín. y Máx.)</t>
  </si>
  <si>
    <t xml:space="preserve">Probeta </t>
  </si>
  <si>
    <t>Cronómetro</t>
  </si>
  <si>
    <t>s</t>
  </si>
  <si>
    <t>Pie de Rey</t>
  </si>
  <si>
    <t>mm</t>
  </si>
  <si>
    <t>DATOS DEL RECIPIENTE BAJO CALIBRACIÓN</t>
  </si>
  <si>
    <t>Nombre</t>
  </si>
  <si>
    <t>RVC</t>
  </si>
  <si>
    <t>Número de Serie</t>
  </si>
  <si>
    <t>Temperatura de referencia</t>
  </si>
  <si>
    <t>Capacidad nominal en galones</t>
  </si>
  <si>
    <t xml:space="preserve">División de escala  </t>
  </si>
  <si>
    <t>Resolución:</t>
  </si>
  <si>
    <t>Coeficiente cúbico de expansión térmico del material</t>
  </si>
  <si>
    <r>
      <t>°C</t>
    </r>
    <r>
      <rPr>
        <vertAlign val="superscript"/>
        <sz val="12"/>
        <rFont val="Arial"/>
        <family val="2"/>
      </rPr>
      <t>-1</t>
    </r>
  </si>
  <si>
    <t>Diámetro interno del cuello</t>
  </si>
  <si>
    <t>cm</t>
  </si>
  <si>
    <t>Ancho de los trazos de la escala</t>
  </si>
  <si>
    <t>Coeficiente cúbico de expansión térmico del material (IP)</t>
  </si>
  <si>
    <t>Hora de Inicio</t>
  </si>
  <si>
    <t>NOMBRE DEL METRÓLOGO</t>
  </si>
  <si>
    <t>Verificación IPFNA  (g)</t>
  </si>
  <si>
    <t>Indicaciones carga baja</t>
  </si>
  <si>
    <t>N°</t>
  </si>
  <si>
    <t>promedio (g):</t>
  </si>
  <si>
    <t>DATOS DE CONDICIONES AMBIENTALES CORREGIDAS</t>
  </si>
  <si>
    <t>OBSERVACIONES</t>
  </si>
  <si>
    <t>Temperatura (°C)</t>
  </si>
  <si>
    <t>Humedad (% hr)</t>
  </si>
  <si>
    <t>Presión (hpa)</t>
  </si>
  <si>
    <r>
      <t>DENSIDAD DEL AIRE CALCULADA CON LA FÓRMULA VERSIÓN SIMPLIFICADA DEL CIPM, Exponencial (g/cm</t>
    </r>
    <r>
      <rPr>
        <b/>
        <vertAlign val="superscript"/>
        <sz val="12"/>
        <color theme="0"/>
        <rFont val="Arial"/>
        <family val="2"/>
      </rPr>
      <t>3</t>
    </r>
    <r>
      <rPr>
        <b/>
        <sz val="12"/>
        <color theme="0"/>
        <rFont val="Arial"/>
        <family val="2"/>
      </rPr>
      <t>)</t>
    </r>
  </si>
  <si>
    <t>DENSIDAD DEL AGUA CALCULADA CON LA FÓRMULA DE TANAKA (g/cm3)</t>
  </si>
  <si>
    <t>DATOS DE CONDICIONES AMBIENTALES TERMOHIGRÓMETRO</t>
  </si>
  <si>
    <t>Diferencias entre ciclos de Medición 
[Ȳ1 - Ȳ2]</t>
  </si>
  <si>
    <t>V1</t>
  </si>
  <si>
    <t>V2</t>
  </si>
  <si>
    <t>V3</t>
  </si>
  <si>
    <t>Tiempo drenado (s)</t>
  </si>
  <si>
    <t>Tiempo escurrido (s)</t>
  </si>
  <si>
    <r>
      <t>g/cm</t>
    </r>
    <r>
      <rPr>
        <vertAlign val="superscript"/>
        <sz val="14"/>
        <rFont val="Arial"/>
        <family val="2"/>
      </rPr>
      <t>3</t>
    </r>
  </si>
  <si>
    <t>Hora final</t>
  </si>
  <si>
    <t>gal</t>
  </si>
  <si>
    <t>ESTIMACIÓN  Y CALCULO DE LA INCERTIDUMBRE DENSIDAD DEL AIRE</t>
  </si>
  <si>
    <t>Magnitud de entrada</t>
  </si>
  <si>
    <t>Valor estimado (xi)</t>
  </si>
  <si>
    <t xml:space="preserve">Fuente información </t>
  </si>
  <si>
    <t>Incertidumbre original</t>
  </si>
  <si>
    <t>Tipo distribución</t>
  </si>
  <si>
    <t>Divisor</t>
  </si>
  <si>
    <t>Incertidumbre estándar u(xi)</t>
  </si>
  <si>
    <r>
      <t>Coeficiente de sensibilidad, c</t>
    </r>
    <r>
      <rPr>
        <b/>
        <i/>
        <sz val="12"/>
        <color theme="1"/>
        <rFont val="Arial"/>
        <family val="2"/>
      </rPr>
      <t>i</t>
    </r>
  </si>
  <si>
    <r>
      <t xml:space="preserve">Contribución </t>
    </r>
    <r>
      <rPr>
        <b/>
        <i/>
        <sz val="12"/>
        <color theme="1"/>
        <rFont val="Arial"/>
        <family val="2"/>
      </rPr>
      <t>u</t>
    </r>
    <r>
      <rPr>
        <b/>
        <i/>
        <vertAlign val="subscript"/>
        <sz val="12"/>
        <color theme="1"/>
        <rFont val="Arial"/>
        <family val="2"/>
      </rPr>
      <t>i</t>
    </r>
    <r>
      <rPr>
        <b/>
        <i/>
        <sz val="12"/>
        <color theme="1"/>
        <rFont val="Arial"/>
        <family val="2"/>
      </rPr>
      <t>(y)</t>
    </r>
  </si>
  <si>
    <r>
      <t>(u</t>
    </r>
    <r>
      <rPr>
        <b/>
        <vertAlign val="subscript"/>
        <sz val="12"/>
        <color theme="1"/>
        <rFont val="Arial"/>
        <family val="2"/>
      </rPr>
      <t>i</t>
    </r>
    <r>
      <rPr>
        <b/>
        <sz val="12"/>
        <color theme="1"/>
        <rFont val="Arial"/>
        <family val="2"/>
      </rPr>
      <t>(y))</t>
    </r>
    <r>
      <rPr>
        <b/>
        <vertAlign val="superscript"/>
        <sz val="12"/>
        <color theme="1"/>
        <rFont val="Arial"/>
        <family val="2"/>
      </rPr>
      <t>2</t>
    </r>
  </si>
  <si>
    <r>
      <t>grados de libertad V</t>
    </r>
    <r>
      <rPr>
        <b/>
        <vertAlign val="subscript"/>
        <sz val="12"/>
        <color theme="1"/>
        <rFont val="Arial"/>
        <family val="2"/>
      </rPr>
      <t>i</t>
    </r>
  </si>
  <si>
    <t>Aporte a la Incertidumbre (aire)</t>
  </si>
  <si>
    <r>
      <t>Densidad del aire (g/cm</t>
    </r>
    <r>
      <rPr>
        <b/>
        <vertAlign val="superscript"/>
        <sz val="12"/>
        <rFont val="Arial"/>
        <family val="2"/>
      </rPr>
      <t>3</t>
    </r>
    <r>
      <rPr>
        <b/>
        <sz val="12"/>
        <rFont val="Arial"/>
        <family val="2"/>
      </rPr>
      <t>)</t>
    </r>
  </si>
  <si>
    <t>Ecuación</t>
  </si>
  <si>
    <t>CIPM versión exponencial</t>
  </si>
  <si>
    <t>Normal k=1</t>
  </si>
  <si>
    <r>
      <t>kg/m</t>
    </r>
    <r>
      <rPr>
        <vertAlign val="superscript"/>
        <sz val="12"/>
        <rFont val="Arial"/>
        <family val="2"/>
      </rPr>
      <t>3</t>
    </r>
  </si>
  <si>
    <t>Taire (°C)</t>
  </si>
  <si>
    <t>Calibración termómetro</t>
  </si>
  <si>
    <t>Certificado calibración</t>
  </si>
  <si>
    <t>Normal k=2</t>
  </si>
  <si>
    <r>
      <t>kg/(m</t>
    </r>
    <r>
      <rPr>
        <vertAlign val="superscript"/>
        <sz val="12"/>
        <rFont val="Arial"/>
        <family val="2"/>
      </rPr>
      <t xml:space="preserve">3 </t>
    </r>
    <r>
      <rPr>
        <sz val="12"/>
        <rFont val="Arial"/>
        <family val="2"/>
      </rPr>
      <t>°C)</t>
    </r>
  </si>
  <si>
    <t>resolución termómetro</t>
  </si>
  <si>
    <t>Indicación equipo</t>
  </si>
  <si>
    <t>Rectangular</t>
  </si>
  <si>
    <t>Deriva del termómetro</t>
  </si>
  <si>
    <t>Dos certificados consecutivos</t>
  </si>
  <si>
    <t>Calibración higrómetro</t>
  </si>
  <si>
    <t>%</t>
  </si>
  <si>
    <r>
      <t>kg/(m</t>
    </r>
    <r>
      <rPr>
        <vertAlign val="superscript"/>
        <sz val="12"/>
        <rFont val="Arial"/>
        <family val="2"/>
      </rPr>
      <t xml:space="preserve">3 </t>
    </r>
    <r>
      <rPr>
        <sz val="12"/>
        <rFont val="Arial"/>
        <family val="2"/>
      </rPr>
      <t>%)</t>
    </r>
  </si>
  <si>
    <t>resolución higrómetro</t>
  </si>
  <si>
    <t>Deriva del higrómetro</t>
  </si>
  <si>
    <t>Presión (hPa)</t>
  </si>
  <si>
    <t>Calibración barómetro</t>
  </si>
  <si>
    <r>
      <t>kg/(m</t>
    </r>
    <r>
      <rPr>
        <vertAlign val="superscript"/>
        <sz val="12"/>
        <rFont val="Arial"/>
        <family val="2"/>
      </rPr>
      <t xml:space="preserve">3 </t>
    </r>
    <r>
      <rPr>
        <sz val="12"/>
        <rFont val="Arial"/>
        <family val="2"/>
      </rPr>
      <t>hPa)</t>
    </r>
  </si>
  <si>
    <t>resolución barómetro</t>
  </si>
  <si>
    <t>Deriva del barómetro</t>
  </si>
  <si>
    <r>
      <t>Densidad del aire (kg/m</t>
    </r>
    <r>
      <rPr>
        <b/>
        <vertAlign val="superscript"/>
        <sz val="12"/>
        <rFont val="Arial"/>
        <family val="2"/>
      </rPr>
      <t>3</t>
    </r>
    <r>
      <rPr>
        <b/>
        <sz val="12"/>
        <rFont val="Arial"/>
        <family val="2"/>
      </rPr>
      <t>)</t>
    </r>
  </si>
  <si>
    <r>
      <t>u</t>
    </r>
    <r>
      <rPr>
        <b/>
        <vertAlign val="subscript"/>
        <sz val="12"/>
        <rFont val="Arial"/>
        <family val="2"/>
      </rPr>
      <t>c</t>
    </r>
    <r>
      <rPr>
        <b/>
        <sz val="12"/>
        <rFont val="Arial"/>
        <family val="2"/>
      </rPr>
      <t xml:space="preserve"> (Daire)=</t>
    </r>
  </si>
  <si>
    <r>
      <t>kg/m</t>
    </r>
    <r>
      <rPr>
        <b/>
        <vertAlign val="superscript"/>
        <sz val="12"/>
        <rFont val="Arial"/>
        <family val="2"/>
      </rPr>
      <t>3</t>
    </r>
  </si>
  <si>
    <t xml:space="preserve">Grados de Libertad </t>
  </si>
  <si>
    <t>U(Daire)=</t>
  </si>
  <si>
    <r>
      <t>g/cm</t>
    </r>
    <r>
      <rPr>
        <b/>
        <vertAlign val="superscript"/>
        <sz val="12"/>
        <rFont val="Arial"/>
        <family val="2"/>
      </rPr>
      <t>3</t>
    </r>
  </si>
  <si>
    <t>ESTIMACIÓN  Y CALCULO DE LA INCERTIDUMBRE DENSIDAD DEL AGUA</t>
  </si>
  <si>
    <r>
      <t>Coeficiente de sensibilidad, c</t>
    </r>
    <r>
      <rPr>
        <b/>
        <i/>
        <sz val="12"/>
        <rFont val="Arial"/>
        <family val="2"/>
      </rPr>
      <t>i</t>
    </r>
  </si>
  <si>
    <r>
      <t xml:space="preserve">Contribución </t>
    </r>
    <r>
      <rPr>
        <b/>
        <i/>
        <sz val="12"/>
        <rFont val="Arial"/>
        <family val="2"/>
      </rPr>
      <t>u</t>
    </r>
    <r>
      <rPr>
        <b/>
        <i/>
        <vertAlign val="subscript"/>
        <sz val="12"/>
        <rFont val="Arial"/>
        <family val="2"/>
      </rPr>
      <t>i</t>
    </r>
    <r>
      <rPr>
        <b/>
        <i/>
        <sz val="12"/>
        <rFont val="Arial"/>
        <family val="2"/>
      </rPr>
      <t>(y)</t>
    </r>
  </si>
  <si>
    <r>
      <t>(u</t>
    </r>
    <r>
      <rPr>
        <b/>
        <vertAlign val="subscript"/>
        <sz val="12"/>
        <rFont val="Arial"/>
        <family val="2"/>
      </rPr>
      <t>i</t>
    </r>
    <r>
      <rPr>
        <b/>
        <sz val="12"/>
        <rFont val="Arial"/>
        <family val="2"/>
      </rPr>
      <t>(y))</t>
    </r>
    <r>
      <rPr>
        <b/>
        <vertAlign val="superscript"/>
        <sz val="12"/>
        <rFont val="Arial"/>
        <family val="2"/>
      </rPr>
      <t>2</t>
    </r>
  </si>
  <si>
    <r>
      <t>grados de libertad V</t>
    </r>
    <r>
      <rPr>
        <b/>
        <vertAlign val="subscript"/>
        <sz val="12"/>
        <rFont val="Arial"/>
        <family val="2"/>
      </rPr>
      <t>i</t>
    </r>
  </si>
  <si>
    <t>Aporte a la Incertidumbre (agua)</t>
  </si>
  <si>
    <r>
      <t>Densidad del agua (g/cm</t>
    </r>
    <r>
      <rPr>
        <b/>
        <vertAlign val="superscript"/>
        <sz val="12"/>
        <rFont val="Arial"/>
        <family val="2"/>
      </rPr>
      <t>3</t>
    </r>
    <r>
      <rPr>
        <b/>
        <sz val="12"/>
        <rFont val="Arial"/>
        <family val="2"/>
      </rPr>
      <t>)</t>
    </r>
  </si>
  <si>
    <t>Expansión del agua</t>
  </si>
  <si>
    <t>EURAMET cg-19 v.3:2018</t>
  </si>
  <si>
    <r>
      <t>g/cm</t>
    </r>
    <r>
      <rPr>
        <vertAlign val="superscript"/>
        <sz val="11"/>
        <rFont val="Arial"/>
        <family val="2"/>
      </rPr>
      <t>3</t>
    </r>
  </si>
  <si>
    <t>Composición isotópica</t>
  </si>
  <si>
    <t>BATISTA, E. y PATON, R</t>
  </si>
  <si>
    <t>Ec. Tanaka</t>
  </si>
  <si>
    <t>Tagua (°C)</t>
  </si>
  <si>
    <r>
      <t>g/(cm</t>
    </r>
    <r>
      <rPr>
        <vertAlign val="superscript"/>
        <sz val="11"/>
        <rFont val="Arial"/>
        <family val="2"/>
      </rPr>
      <t xml:space="preserve">3 </t>
    </r>
    <r>
      <rPr>
        <sz val="11"/>
        <rFont val="Arial"/>
        <family val="2"/>
      </rPr>
      <t>°C)</t>
    </r>
  </si>
  <si>
    <t>Resolución termómetro</t>
  </si>
  <si>
    <t>Equipo</t>
  </si>
  <si>
    <t>Certificados</t>
  </si>
  <si>
    <r>
      <t>g/(cm</t>
    </r>
    <r>
      <rPr>
        <vertAlign val="superscript"/>
        <sz val="11"/>
        <rFont val="Arial"/>
        <family val="2"/>
      </rPr>
      <t xml:space="preserve">3 </t>
    </r>
    <r>
      <rPr>
        <sz val="11"/>
        <rFont val="Arial"/>
        <family val="2"/>
      </rPr>
      <t>hPa)</t>
    </r>
  </si>
  <si>
    <t>Resolución barómetro</t>
  </si>
  <si>
    <t xml:space="preserve"> Equipo</t>
  </si>
  <si>
    <r>
      <t>u</t>
    </r>
    <r>
      <rPr>
        <b/>
        <vertAlign val="subscript"/>
        <sz val="11"/>
        <rFont val="Arial"/>
        <family val="2"/>
      </rPr>
      <t>c</t>
    </r>
    <r>
      <rPr>
        <b/>
        <sz val="11"/>
        <rFont val="Arial"/>
        <family val="2"/>
      </rPr>
      <t xml:space="preserve"> (Dagua)=</t>
    </r>
  </si>
  <si>
    <r>
      <t>g/cm</t>
    </r>
    <r>
      <rPr>
        <b/>
        <vertAlign val="superscript"/>
        <sz val="11"/>
        <rFont val="Arial"/>
        <family val="2"/>
      </rPr>
      <t>3</t>
    </r>
  </si>
  <si>
    <t xml:space="preserve">grados de Libertad </t>
  </si>
  <si>
    <t>U(Dagua)=</t>
  </si>
  <si>
    <t>ESTIMACIÓN  Y CALCULO DE LA INCERTIDUMBRE DE LA CAPACIDAD</t>
  </si>
  <si>
    <r>
      <t>Coeficiente de sensibilidad, c</t>
    </r>
    <r>
      <rPr>
        <b/>
        <i/>
        <sz val="10"/>
        <rFont val="Arial"/>
        <family val="2"/>
      </rPr>
      <t>i</t>
    </r>
  </si>
  <si>
    <r>
      <t xml:space="preserve">Contribución </t>
    </r>
    <r>
      <rPr>
        <b/>
        <i/>
        <sz val="10"/>
        <rFont val="Arial"/>
        <family val="2"/>
      </rPr>
      <t>u</t>
    </r>
    <r>
      <rPr>
        <b/>
        <i/>
        <vertAlign val="subscript"/>
        <sz val="10"/>
        <rFont val="Arial"/>
        <family val="2"/>
      </rPr>
      <t>i</t>
    </r>
    <r>
      <rPr>
        <b/>
        <i/>
        <sz val="10"/>
        <rFont val="Arial"/>
        <family val="2"/>
      </rPr>
      <t>(y)</t>
    </r>
  </si>
  <si>
    <r>
      <t>(u</t>
    </r>
    <r>
      <rPr>
        <b/>
        <vertAlign val="subscript"/>
        <sz val="10"/>
        <rFont val="Arial"/>
        <family val="2"/>
      </rPr>
      <t>i</t>
    </r>
    <r>
      <rPr>
        <b/>
        <sz val="10"/>
        <rFont val="Arial"/>
        <family val="2"/>
      </rPr>
      <t>(y))</t>
    </r>
    <r>
      <rPr>
        <b/>
        <vertAlign val="superscript"/>
        <sz val="10"/>
        <rFont val="Arial"/>
        <family val="2"/>
      </rPr>
      <t>2</t>
    </r>
  </si>
  <si>
    <r>
      <t>grados de libertad V</t>
    </r>
    <r>
      <rPr>
        <b/>
        <vertAlign val="subscript"/>
        <sz val="10"/>
        <rFont val="Arial"/>
        <family val="2"/>
      </rPr>
      <t>i</t>
    </r>
  </si>
  <si>
    <r>
      <t xml:space="preserve">Contribución </t>
    </r>
    <r>
      <rPr>
        <b/>
        <i/>
        <sz val="10"/>
        <rFont val="Arial"/>
        <family val="2"/>
      </rPr>
      <t>u</t>
    </r>
    <r>
      <rPr>
        <b/>
        <i/>
        <vertAlign val="subscript"/>
        <sz val="10"/>
        <rFont val="Arial"/>
        <family val="2"/>
      </rPr>
      <t>i</t>
    </r>
    <r>
      <rPr>
        <b/>
        <i/>
        <sz val="10"/>
        <rFont val="Arial"/>
        <family val="2"/>
      </rPr>
      <t>(y)</t>
    </r>
    <r>
      <rPr>
        <b/>
        <i/>
        <vertAlign val="superscript"/>
        <sz val="10"/>
        <rFont val="Arial"/>
        <family val="2"/>
      </rPr>
      <t>4</t>
    </r>
  </si>
  <si>
    <t>Aporte a la Incertidumbre (volumen)</t>
  </si>
  <si>
    <t xml:space="preserve">Masa de agua </t>
  </si>
  <si>
    <t>Lectura recipiente lleno, g</t>
  </si>
  <si>
    <t>Resolución balanza, g</t>
  </si>
  <si>
    <t>Equipo, Catálogo</t>
  </si>
  <si>
    <t>mL/g</t>
  </si>
  <si>
    <t>Calibración, g</t>
  </si>
  <si>
    <t xml:space="preserve">Certificado </t>
  </si>
  <si>
    <t>Normal</t>
  </si>
  <si>
    <t>Excentricidad, g</t>
  </si>
  <si>
    <t>Certificado</t>
  </si>
  <si>
    <t>Deriva,g</t>
  </si>
  <si>
    <t>Lectura recipiente vacío g</t>
  </si>
  <si>
    <t>Resolución, g</t>
  </si>
  <si>
    <t>Incertidumbre del método</t>
  </si>
  <si>
    <t>Anova de un factor</t>
  </si>
  <si>
    <t>Densidad del aire (g/cm3)</t>
  </si>
  <si>
    <t>CIPM Versión Exponencial 2007</t>
  </si>
  <si>
    <t>CIPM Exponencial</t>
  </si>
  <si>
    <r>
      <t>(mL)</t>
    </r>
    <r>
      <rPr>
        <vertAlign val="superscript"/>
        <sz val="12"/>
        <rFont val="Arial"/>
        <family val="2"/>
      </rPr>
      <t>2</t>
    </r>
    <r>
      <rPr>
        <sz val="12"/>
        <rFont val="Arial"/>
        <family val="2"/>
      </rPr>
      <t>/g</t>
    </r>
  </si>
  <si>
    <t>Densidad del agua [g/cm³]</t>
  </si>
  <si>
    <t>Tanaka</t>
  </si>
  <si>
    <t>Den. Masas [g/cm³]</t>
  </si>
  <si>
    <t>OIML R 111-1</t>
  </si>
  <si>
    <t>OIML R 111-1 Tabla B.7</t>
  </si>
  <si>
    <t>Coef. Cúbico de exp. [1/°C]</t>
  </si>
  <si>
    <t>Coeficiente expansión Térmica del material</t>
  </si>
  <si>
    <t>°C*mL</t>
  </si>
  <si>
    <t>Temperatura del agua [°C]</t>
  </si>
  <si>
    <t>Resolución termómetro, ºC</t>
  </si>
  <si>
    <t>mL/°C</t>
  </si>
  <si>
    <t>Calibración termómetro, ºC</t>
  </si>
  <si>
    <t>equipo</t>
  </si>
  <si>
    <t xml:space="preserve">Normal </t>
  </si>
  <si>
    <t>Deriva termómetro, ºC</t>
  </si>
  <si>
    <t>certificados</t>
  </si>
  <si>
    <t>rectangular</t>
  </si>
  <si>
    <t>Gradiente en la medición de la temperatura</t>
  </si>
  <si>
    <t>Mediciones</t>
  </si>
  <si>
    <t>Gradiente entre Tagua y T aire, ºC</t>
  </si>
  <si>
    <t>Prueba, Mediciones</t>
  </si>
  <si>
    <t>Repetibilidad</t>
  </si>
  <si>
    <r>
      <t>cm</t>
    </r>
    <r>
      <rPr>
        <vertAlign val="superscript"/>
        <sz val="12"/>
        <rFont val="Arial"/>
        <family val="2"/>
      </rPr>
      <t>3</t>
    </r>
  </si>
  <si>
    <t>Ajuste menisco (Efecto operador)</t>
  </si>
  <si>
    <t>Euramet cg19 (7.3.7.1b)</t>
  </si>
  <si>
    <t>Euramet cg19 (7.3.7.1a)</t>
  </si>
  <si>
    <t>Evaporación</t>
  </si>
  <si>
    <t>Euramet cg19 (7.3.8)</t>
  </si>
  <si>
    <t>Temperatura de referencia [°C]</t>
  </si>
  <si>
    <t>Volumen a la temperatura de referencia</t>
  </si>
  <si>
    <r>
      <t>u</t>
    </r>
    <r>
      <rPr>
        <b/>
        <vertAlign val="subscript"/>
        <sz val="12"/>
        <rFont val="Arial"/>
        <family val="2"/>
      </rPr>
      <t>c</t>
    </r>
    <r>
      <rPr>
        <b/>
        <sz val="12"/>
        <rFont val="Arial"/>
        <family val="2"/>
      </rPr>
      <t xml:space="preserve"> (V</t>
    </r>
    <r>
      <rPr>
        <b/>
        <vertAlign val="subscript"/>
        <sz val="12"/>
        <rFont val="Arial"/>
        <family val="2"/>
      </rPr>
      <t>20</t>
    </r>
    <r>
      <rPr>
        <b/>
        <sz val="12"/>
        <rFont val="Arial"/>
        <family val="2"/>
      </rPr>
      <t>)=</t>
    </r>
  </si>
  <si>
    <t>U(V20)=</t>
  </si>
  <si>
    <t>U(Relativa)=</t>
  </si>
  <si>
    <t>Resultados Finales</t>
  </si>
  <si>
    <t>k</t>
  </si>
  <si>
    <r>
      <t>V</t>
    </r>
    <r>
      <rPr>
        <b/>
        <vertAlign val="subscript"/>
        <sz val="12"/>
        <rFont val="Arial"/>
        <family val="2"/>
      </rPr>
      <t>t</t>
    </r>
  </si>
  <si>
    <r>
      <t>u ( V</t>
    </r>
    <r>
      <rPr>
        <b/>
        <vertAlign val="subscript"/>
        <sz val="12"/>
        <rFont val="Arial"/>
        <family val="2"/>
      </rPr>
      <t xml:space="preserve">t </t>
    </r>
    <r>
      <rPr>
        <b/>
        <sz val="12"/>
        <rFont val="Arial"/>
        <family val="2"/>
      </rPr>
      <t>)</t>
    </r>
  </si>
  <si>
    <t>U</t>
  </si>
  <si>
    <r>
      <t xml:space="preserve">N.C </t>
    </r>
    <r>
      <rPr>
        <b/>
        <i/>
        <sz val="12"/>
        <rFont val="Arial"/>
        <family val="2"/>
      </rPr>
      <t>%</t>
    </r>
  </si>
  <si>
    <t>E</t>
  </si>
  <si>
    <t>│E│</t>
  </si>
  <si>
    <t>Incertidumbre dominante</t>
  </si>
  <si>
    <t>Condicional incertidumbre dominante</t>
  </si>
  <si>
    <t>SI</t>
  </si>
  <si>
    <t>≤ 0,3</t>
  </si>
  <si>
    <t>K=1,65</t>
  </si>
  <si>
    <r>
      <t>in</t>
    </r>
    <r>
      <rPr>
        <b/>
        <vertAlign val="superscript"/>
        <sz val="12"/>
        <rFont val="Arial"/>
        <family val="2"/>
      </rPr>
      <t>3</t>
    </r>
  </si>
  <si>
    <t>Resultado</t>
  </si>
  <si>
    <t>≥ 0,3</t>
  </si>
  <si>
    <t>K= 2,0</t>
  </si>
  <si>
    <t>INSTRUMENTO DE PESAJE DE FUNCIONAMIENTO NO AUTOMÁTICO-IPFNA</t>
  </si>
  <si>
    <r>
      <t xml:space="preserve">DATOS DE CONDICIONES AMBIENTALES </t>
    </r>
    <r>
      <rPr>
        <b/>
        <i/>
        <sz val="12"/>
        <color theme="0"/>
        <rFont val="Arial"/>
        <family val="2"/>
      </rPr>
      <t>CORREGIDAS</t>
    </r>
  </si>
  <si>
    <r>
      <t xml:space="preserve">DATOS DE CONDICIONES AMBIENTALES </t>
    </r>
    <r>
      <rPr>
        <b/>
        <i/>
        <sz val="12"/>
        <color theme="0"/>
        <rFont val="Arial"/>
        <family val="2"/>
      </rPr>
      <t>TERMOHIGRÓMETRO</t>
    </r>
  </si>
  <si>
    <t>Diferencia de medias [Ȳ1 - Ȳ2]</t>
  </si>
  <si>
    <t>Posición gráfico</t>
  </si>
  <si>
    <r>
      <t>T</t>
    </r>
    <r>
      <rPr>
        <b/>
        <vertAlign val="subscript"/>
        <sz val="12"/>
        <color theme="1"/>
        <rFont val="Arial"/>
        <family val="2"/>
      </rPr>
      <t>U</t>
    </r>
    <r>
      <rPr>
        <b/>
        <sz val="12"/>
        <color theme="1"/>
        <rFont val="Arial"/>
        <family val="2"/>
      </rPr>
      <t xml:space="preserve"> </t>
    </r>
    <r>
      <rPr>
        <b/>
        <vertAlign val="subscript"/>
        <sz val="12"/>
        <color theme="1"/>
        <rFont val="Arial"/>
        <family val="2"/>
      </rPr>
      <t>(EMP + (mL))</t>
    </r>
  </si>
  <si>
    <r>
      <t>T</t>
    </r>
    <r>
      <rPr>
        <b/>
        <vertAlign val="subscript"/>
        <sz val="12"/>
        <color theme="1"/>
        <rFont val="Arial"/>
        <family val="2"/>
      </rPr>
      <t>L</t>
    </r>
    <r>
      <rPr>
        <b/>
        <sz val="12"/>
        <color theme="1"/>
        <rFont val="Arial"/>
        <family val="2"/>
      </rPr>
      <t xml:space="preserve"> </t>
    </r>
    <r>
      <rPr>
        <b/>
        <vertAlign val="subscript"/>
        <sz val="12"/>
        <color theme="1"/>
        <rFont val="Arial"/>
        <family val="2"/>
      </rPr>
      <t>(EMP - (mL))</t>
    </r>
  </si>
  <si>
    <t>Volumen nominal</t>
  </si>
  <si>
    <t>Error indicación (mL)</t>
  </si>
  <si>
    <t>U exp (mL)</t>
  </si>
  <si>
    <t>Probabilidad de conformidad y no conformidad antes de ajuste</t>
  </si>
  <si>
    <t>"Z" limite superior</t>
  </si>
  <si>
    <t>Pc conformidad</t>
  </si>
  <si>
    <t>Pc no conformidad</t>
  </si>
  <si>
    <t>Antes de ajuste</t>
  </si>
  <si>
    <t>Después de ajuste</t>
  </si>
  <si>
    <t>"Z" limite inferior</t>
  </si>
  <si>
    <t>Probabilidad de conformidad y no conformidad Después de ajuste</t>
  </si>
  <si>
    <t>Volumen nominal del RV</t>
  </si>
  <si>
    <t>Volumen Indicado del RV BC antes de ajuste</t>
  </si>
  <si>
    <t>Volumen Indicado del RV BC Después de ajuste</t>
  </si>
  <si>
    <t xml:space="preserve">Descargar datos del termohigrómetro utilizado en la calibración-condiciones ambientales máximas y mínimas </t>
  </si>
  <si>
    <t>Limites para calibración</t>
  </si>
  <si>
    <t xml:space="preserve">Después de ajuste </t>
  </si>
  <si>
    <t>Hora de inicio</t>
  </si>
  <si>
    <t>Hora Final</t>
  </si>
  <si>
    <t>Min °C</t>
  </si>
  <si>
    <t>Max °C</t>
  </si>
  <si>
    <t>Fecha</t>
  </si>
  <si>
    <t>Información</t>
  </si>
  <si>
    <t>Mínimo</t>
  </si>
  <si>
    <t>Min %hr</t>
  </si>
  <si>
    <t>Max %hr</t>
  </si>
  <si>
    <t>Máximo</t>
  </si>
  <si>
    <t>Mínimo corregido</t>
  </si>
  <si>
    <t>Min hPa</t>
  </si>
  <si>
    <t>Max hPa</t>
  </si>
  <si>
    <t>Máximo corregido</t>
  </si>
  <si>
    <t>Fecha de Recepción</t>
  </si>
  <si>
    <t>Lugar de calibración de la escala</t>
  </si>
  <si>
    <t>Fecha de calibración de la escala</t>
  </si>
  <si>
    <r>
      <t xml:space="preserve">                      DATOS PROBETA PATRÓN                      (V</t>
    </r>
    <r>
      <rPr>
        <b/>
        <vertAlign val="subscript"/>
        <sz val="14"/>
        <color theme="0"/>
        <rFont val="Arial"/>
        <family val="2"/>
      </rPr>
      <t>sp</t>
    </r>
    <r>
      <rPr>
        <b/>
        <sz val="14"/>
        <color theme="0"/>
        <rFont val="Arial"/>
        <family val="2"/>
      </rPr>
      <t>) (mL)</t>
    </r>
  </si>
  <si>
    <t>INTERPOLACIÓN CERTIFICADO DE CALIBRACIÓN</t>
  </si>
  <si>
    <t>ANÁLISIS DE DATOS INTERPOLACIÓN (mL)</t>
  </si>
  <si>
    <t>Identificación             /  
Serie</t>
  </si>
  <si>
    <t>Capacidad Nominal mL</t>
  </si>
  <si>
    <r>
      <t xml:space="preserve">Capacidad </t>
    </r>
    <r>
      <rPr>
        <b/>
        <sz val="8"/>
        <color theme="1"/>
        <rFont val="Arial"/>
        <family val="2"/>
      </rPr>
      <t>(Según Certificado) mL</t>
    </r>
  </si>
  <si>
    <t>División de Escala / Resolución mL</t>
  </si>
  <si>
    <t>Corrección (Según Certificado) mL</t>
  </si>
  <si>
    <t>Incertidumbre del Certificado mL</t>
  </si>
  <si>
    <t>Capacidad nominal probeta patrón</t>
  </si>
  <si>
    <t xml:space="preserve"> Capacidad según certificado       </t>
  </si>
  <si>
    <t>V Min Indicado probeta patrón     (N)</t>
  </si>
  <si>
    <t>Interpolación VMin Indicado probeta patrón</t>
  </si>
  <si>
    <t xml:space="preserve">V suministrado al  RVC con probeta patrón           </t>
  </si>
  <si>
    <t>División de escala calculada al RVC        D=Vsp/N</t>
  </si>
  <si>
    <t>INTERVALO DE LA ESCALA DEL RV</t>
  </si>
  <si>
    <t>CONVERSIÓN</t>
  </si>
  <si>
    <r>
      <t>División de escala   (in</t>
    </r>
    <r>
      <rPr>
        <b/>
        <vertAlign val="superscript"/>
        <sz val="10"/>
        <color theme="1"/>
        <rFont val="Arial"/>
        <family val="2"/>
      </rPr>
      <t>3</t>
    </r>
    <r>
      <rPr>
        <b/>
        <sz val="10"/>
        <color theme="1"/>
        <rFont val="Arial"/>
        <family val="2"/>
      </rPr>
      <t>)</t>
    </r>
    <r>
      <rPr>
        <b/>
        <vertAlign val="superscript"/>
        <sz val="10"/>
        <color theme="1"/>
        <rFont val="Arial"/>
        <family val="2"/>
      </rPr>
      <t xml:space="preserve"> </t>
    </r>
  </si>
  <si>
    <t>Numero de espacios (N)</t>
  </si>
  <si>
    <r>
      <t>in</t>
    </r>
    <r>
      <rPr>
        <vertAlign val="superscript"/>
        <sz val="12"/>
        <color theme="1"/>
        <rFont val="Arial"/>
        <family val="2"/>
      </rPr>
      <t>3</t>
    </r>
  </si>
  <si>
    <r>
      <t>y</t>
    </r>
    <r>
      <rPr>
        <b/>
        <vertAlign val="subscript"/>
        <sz val="12"/>
        <color theme="1"/>
        <rFont val="Arial"/>
        <family val="2"/>
      </rPr>
      <t>3</t>
    </r>
  </si>
  <si>
    <t>m</t>
  </si>
  <si>
    <t>y</t>
  </si>
  <si>
    <r>
      <t xml:space="preserve">1 </t>
    </r>
    <r>
      <rPr>
        <b/>
        <vertAlign val="superscript"/>
        <sz val="12"/>
        <color theme="1"/>
        <rFont val="Arial"/>
        <family val="2"/>
      </rPr>
      <t xml:space="preserve">   </t>
    </r>
    <r>
      <rPr>
        <b/>
        <sz val="12"/>
        <color theme="1"/>
        <rFont val="Arial"/>
        <family val="2"/>
      </rPr>
      <t>=</t>
    </r>
  </si>
  <si>
    <r>
      <t>y</t>
    </r>
    <r>
      <rPr>
        <b/>
        <vertAlign val="subscript"/>
        <sz val="12"/>
        <color theme="1"/>
        <rFont val="Arial"/>
        <family val="2"/>
      </rPr>
      <t>1</t>
    </r>
  </si>
  <si>
    <t>x</t>
  </si>
  <si>
    <r>
      <t>x</t>
    </r>
    <r>
      <rPr>
        <b/>
        <vertAlign val="subscript"/>
        <sz val="12"/>
        <color theme="1"/>
        <rFont val="Arial"/>
        <family val="2"/>
      </rPr>
      <t>1</t>
    </r>
  </si>
  <si>
    <r>
      <t>x</t>
    </r>
    <r>
      <rPr>
        <b/>
        <vertAlign val="subscript"/>
        <sz val="12"/>
        <color theme="1"/>
        <rFont val="Arial"/>
        <family val="2"/>
      </rPr>
      <t>2</t>
    </r>
  </si>
  <si>
    <r>
      <t>D</t>
    </r>
    <r>
      <rPr>
        <b/>
        <vertAlign val="subscript"/>
        <sz val="14"/>
        <color rgb="FFFFFFFF"/>
        <rFont val="Arial"/>
        <family val="2"/>
      </rPr>
      <t>promedio</t>
    </r>
  </si>
  <si>
    <r>
      <t>ALTURAS DE ESPACIOS EN RV   ± 1 %</t>
    </r>
    <r>
      <rPr>
        <vertAlign val="superscript"/>
        <sz val="14"/>
        <color rgb="FFFFFFFF"/>
        <rFont val="Arial"/>
        <family val="2"/>
      </rPr>
      <t xml:space="preserve">  </t>
    </r>
  </si>
  <si>
    <t>TABLA DE CONVERSIÓN                                        
Disponible en  https://www.nist.gov/physical-measurement-laboratory/nist-guide-si-appendix-b</t>
  </si>
  <si>
    <t>1    (mm)</t>
  </si>
  <si>
    <t>2    (mm)</t>
  </si>
  <si>
    <t>3    (mm)</t>
  </si>
  <si>
    <t xml:space="preserve">   PROMEDIOS                  (mm)</t>
  </si>
  <si>
    <t>Litros</t>
  </si>
  <si>
    <t>Mililitros</t>
  </si>
  <si>
    <r>
      <t>1 in</t>
    </r>
    <r>
      <rPr>
        <b/>
        <vertAlign val="superscript"/>
        <sz val="12"/>
        <color theme="1"/>
        <rFont val="Arial"/>
        <family val="2"/>
      </rPr>
      <t>3</t>
    </r>
  </si>
  <si>
    <t>Valor nominal</t>
  </si>
  <si>
    <t>Volumen Indicado Vsp</t>
  </si>
  <si>
    <t>Volumen calculado</t>
  </si>
  <si>
    <t>m     =</t>
  </si>
  <si>
    <t>h máx.</t>
  </si>
  <si>
    <t>1 galón</t>
  </si>
  <si>
    <t>Volumen convencional</t>
  </si>
  <si>
    <t>Error</t>
  </si>
  <si>
    <t xml:space="preserve">Incertidumbre por interpolación </t>
  </si>
  <si>
    <t>h min</t>
  </si>
  <si>
    <r>
      <t>Diferencia de alturas  (D</t>
    </r>
    <r>
      <rPr>
        <b/>
        <vertAlign val="subscript"/>
        <sz val="12"/>
        <color theme="1"/>
        <rFont val="Arial"/>
        <family val="2"/>
      </rPr>
      <t>h</t>
    </r>
    <r>
      <rPr>
        <b/>
        <sz val="12"/>
        <color theme="1"/>
        <rFont val="Arial"/>
        <family val="2"/>
      </rPr>
      <t>)</t>
    </r>
  </si>
  <si>
    <t>Litro</t>
  </si>
  <si>
    <r>
      <t>u (∆D</t>
    </r>
    <r>
      <rPr>
        <b/>
        <vertAlign val="subscript"/>
        <sz val="12"/>
        <color theme="1"/>
        <rFont val="Arial"/>
        <family val="2"/>
      </rPr>
      <t>inho</t>
    </r>
    <r>
      <rPr>
        <b/>
        <sz val="12"/>
        <color theme="1"/>
        <rFont val="Arial"/>
        <family val="2"/>
      </rPr>
      <t xml:space="preserve">) </t>
    </r>
    <r>
      <rPr>
        <b/>
        <vertAlign val="subscript"/>
        <sz val="12"/>
        <color theme="1"/>
        <rFont val="Arial"/>
        <family val="2"/>
      </rPr>
      <t xml:space="preserve"> (mL)</t>
    </r>
  </si>
  <si>
    <t>Mililitro</t>
  </si>
  <si>
    <t>COEFICIENTE DE SENSIBILIDAD CON RESPECTO AL VOLUMEN DE REFERENCIA (RVP)</t>
  </si>
  <si>
    <t>Derivadas Parciales</t>
  </si>
  <si>
    <t>Respecto a D</t>
  </si>
  <si>
    <t xml:space="preserve">Respecto </t>
  </si>
  <si>
    <t>PRESUPUESTO DE INCERTIDUMBRE</t>
  </si>
  <si>
    <t>Incertidumbre estándar  u(xi)</t>
  </si>
  <si>
    <t>Coeficiente de sensibilidad (ci)</t>
  </si>
  <si>
    <t>Contribución ui(y)</t>
  </si>
  <si>
    <t>(ui(y))2</t>
  </si>
  <si>
    <t>Fuente Información</t>
  </si>
  <si>
    <t>Tipo de Distribución</t>
  </si>
  <si>
    <t>Grados de libertad    Vi</t>
  </si>
  <si>
    <t>Volumen suministrado probeta patrón</t>
  </si>
  <si>
    <t>Calibración probeta patrón</t>
  </si>
  <si>
    <t>Certificado de calibración</t>
  </si>
  <si>
    <t>Lectura probeta patrón</t>
  </si>
  <si>
    <t>Delta de volumen máximo de lectura</t>
  </si>
  <si>
    <t>Estimada</t>
  </si>
  <si>
    <t>∞</t>
  </si>
  <si>
    <t>Delta de volumen mínimo de lectura</t>
  </si>
  <si>
    <t>Delta por Inhomogenidad</t>
  </si>
  <si>
    <t>Delta por método</t>
  </si>
  <si>
    <t>División de escala</t>
  </si>
  <si>
    <r>
      <rPr>
        <i/>
        <sz val="12"/>
        <color theme="1"/>
        <rFont val="Arial"/>
        <family val="2"/>
      </rPr>
      <t>u</t>
    </r>
    <r>
      <rPr>
        <sz val="12"/>
        <color theme="1"/>
        <rFont val="Arial"/>
        <family val="2"/>
      </rPr>
      <t xml:space="preserve"> división de escala </t>
    </r>
  </si>
  <si>
    <r>
      <t xml:space="preserve">N.C </t>
    </r>
    <r>
      <rPr>
        <b/>
        <i/>
        <sz val="12"/>
        <color theme="1"/>
        <rFont val="Arial"/>
        <family val="2"/>
      </rPr>
      <t>%</t>
    </r>
  </si>
  <si>
    <t>Precinto #</t>
  </si>
  <si>
    <t>U expandida</t>
  </si>
  <si>
    <t>Como g ej. &gt; 50  =&gt;para 95%</t>
  </si>
  <si>
    <t xml:space="preserve">Fecha: </t>
  </si>
  <si>
    <t>CMC</t>
  </si>
  <si>
    <t>Intervalo de Medición</t>
  </si>
  <si>
    <t>A</t>
  </si>
  <si>
    <r>
      <t>in</t>
    </r>
    <r>
      <rPr>
        <vertAlign val="superscript"/>
        <sz val="12"/>
        <rFont val="Arial"/>
        <family val="2"/>
      </rPr>
      <t>3</t>
    </r>
  </si>
  <si>
    <t>Certificado N°</t>
  </si>
  <si>
    <t>Información del Cliente</t>
  </si>
  <si>
    <t>Solicitante:</t>
  </si>
  <si>
    <t>Dirección:</t>
  </si>
  <si>
    <t>Ciudad :</t>
  </si>
  <si>
    <t>Fecha de recepción:</t>
  </si>
  <si>
    <t>Fecha de calibración:</t>
  </si>
  <si>
    <t>1.   INFORMACIÓN DEL EQUIPO SOMETIDO A CALIBRACIÓN</t>
  </si>
  <si>
    <t>Objeto:</t>
  </si>
  <si>
    <t>Recipiente Volumétrico</t>
  </si>
  <si>
    <t>Fabricante:</t>
  </si>
  <si>
    <t>Número de serie:</t>
  </si>
  <si>
    <t>Modelo:</t>
  </si>
  <si>
    <t>Material de construcción:</t>
  </si>
  <si>
    <t>Acero inoxidable</t>
  </si>
  <si>
    <t>Capacidad nominal:</t>
  </si>
  <si>
    <t>División de escala nominal:</t>
  </si>
  <si>
    <t>Tipo de visor:</t>
  </si>
  <si>
    <t>Tubo en vidrio</t>
  </si>
  <si>
    <t>2.   LUGAR Y DIRECCIÓN DE CALIBRACIÓN</t>
  </si>
  <si>
    <t>3.   CÓDIGO INTERNO</t>
  </si>
  <si>
    <t xml:space="preserve">4.   MÉTODO DE CALIBRACIÓN UTILIZADO </t>
  </si>
  <si>
    <t>Para la calibración del recipiente volumétrico, se utilizó el método  establecido en el documento normativo guía Euramet No. 19, Vr. 3.0 (09/2018).</t>
  </si>
  <si>
    <t xml:space="preserve">Donde: </t>
  </si>
  <si>
    <t xml:space="preserve">Volumen, a la temperatura de referencia. </t>
  </si>
  <si>
    <t>Indicación de la masa del recipiente lleno de agua en gramos.</t>
  </si>
  <si>
    <t>Indicación de la masa del recipiente vacío en gramos.</t>
  </si>
  <si>
    <r>
      <t>Es la densidad del aire a las condiciones ambientales del laboratorio en g/cm</t>
    </r>
    <r>
      <rPr>
        <vertAlign val="superscript"/>
        <sz val="12"/>
        <rFont val="Arial"/>
        <family val="2"/>
      </rPr>
      <t xml:space="preserve">3  </t>
    </r>
    <r>
      <rPr>
        <sz val="12"/>
        <rFont val="Arial"/>
        <family val="2"/>
      </rPr>
      <t xml:space="preserve">                 </t>
    </r>
  </si>
  <si>
    <r>
      <t>Es la densidad del agua usada en la calibración en g/cm</t>
    </r>
    <r>
      <rPr>
        <vertAlign val="superscript"/>
        <sz val="12"/>
        <rFont val="Arial"/>
        <family val="2"/>
      </rPr>
      <t>3</t>
    </r>
    <r>
      <rPr>
        <sz val="12"/>
        <rFont val="Arial"/>
        <family val="2"/>
      </rPr>
      <t xml:space="preserve"> .</t>
    </r>
  </si>
  <si>
    <t xml:space="preserve"> </t>
  </si>
  <si>
    <r>
      <t>Es la densidad de las pesas (8 g/cm</t>
    </r>
    <r>
      <rPr>
        <vertAlign val="superscript"/>
        <sz val="12"/>
        <rFont val="Arial"/>
        <family val="2"/>
      </rPr>
      <t>3</t>
    </r>
    <r>
      <rPr>
        <sz val="12"/>
        <rFont val="Arial"/>
        <family val="2"/>
      </rPr>
      <t>) valor convencional según la OIML R111-1.</t>
    </r>
  </si>
  <si>
    <t>Temperatura del agua medida durante la calibración en °C.</t>
  </si>
  <si>
    <r>
      <t>Coeficiente cubico de expansión térmica del material de construcción del instrumento en °C</t>
    </r>
    <r>
      <rPr>
        <vertAlign val="superscript"/>
        <sz val="12"/>
        <rFont val="Arial"/>
        <family val="2"/>
      </rPr>
      <t>-1</t>
    </r>
    <r>
      <rPr>
        <sz val="12"/>
        <rFont val="Arial"/>
        <family val="2"/>
      </rPr>
      <t>.</t>
    </r>
  </si>
  <si>
    <t>Temperatura de referencia del aparato volumétrico en</t>
  </si>
  <si>
    <t>5.  CONDICIONES AMBIENTALES</t>
  </si>
  <si>
    <t>Las condiciones ambientales máximas y mínimas  promedio corregidas en el laboratorio durante la calibración fueron las siguientes:</t>
  </si>
  <si>
    <t>Humedad relativa (% hr)</t>
  </si>
  <si>
    <t>Presión atmosférica (hPa)</t>
  </si>
  <si>
    <t xml:space="preserve">Mínima </t>
  </si>
  <si>
    <t xml:space="preserve">Máxima </t>
  </si>
  <si>
    <t>Máxima</t>
  </si>
  <si>
    <t>6.   INCERTIDUMBRE DE MEDICIÓN</t>
  </si>
  <si>
    <t>"La incertidumbre expandida de la medición reportada se establece como la incertidumbre estándar de medición multiplicada por el factor de cobertura "k",y la probabilidad de cobertura,  la cual debe ser aproximada al 95 % y no menor a este valor".</t>
  </si>
  <si>
    <t>7.   TRAZABILIDAD METROLÓGICA</t>
  </si>
  <si>
    <t>Propiedad de un resultado de medida por la cual el resultado puede relacionarse con una referencia mediante una cadena ininterrumpida y documentada de calibraciones, cada una de las cuales contribuye a la incertidumbre de medida.</t>
  </si>
  <si>
    <t>8.   RESULTADOS DE LA CALIBRACIÓN</t>
  </si>
  <si>
    <t>Temperatura de Referencia</t>
  </si>
  <si>
    <t>Capacidad nominal</t>
  </si>
  <si>
    <t>Capacidad del RVC</t>
  </si>
  <si>
    <t>Incertidumbre   ± U</t>
  </si>
  <si>
    <t>| E |</t>
  </si>
  <si>
    <t>Cumple</t>
  </si>
  <si>
    <r>
      <t>in</t>
    </r>
    <r>
      <rPr>
        <vertAlign val="superscript"/>
        <sz val="10"/>
        <rFont val="Arial"/>
        <family val="2"/>
      </rPr>
      <t>3</t>
    </r>
  </si>
  <si>
    <t>Incertidumbre    ± U</t>
  </si>
  <si>
    <t>|E|</t>
  </si>
  <si>
    <t>in3</t>
  </si>
  <si>
    <t>La declaración de conformidad se aplica teniendo en cuenta el error más la incertidumbre de medición, la cual no deberá superar los errores máximos permitidos (EMP), según lo definido en la OIML R 120:2010, numeral 2.2.2.2.</t>
  </si>
  <si>
    <t>EMP</t>
  </si>
  <si>
    <t>9.   SE AJUSTO LA ESCALA</t>
  </si>
  <si>
    <t>NO</t>
  </si>
  <si>
    <t>La escala fue calibrada:</t>
  </si>
  <si>
    <t>División mínima promedio de la escala:</t>
  </si>
  <si>
    <t xml:space="preserve"> ±</t>
  </si>
  <si>
    <r>
      <t>in</t>
    </r>
    <r>
      <rPr>
        <b/>
        <i/>
        <vertAlign val="superscript"/>
        <sz val="12"/>
        <rFont val="Arial"/>
        <family val="2"/>
      </rPr>
      <t>3</t>
    </r>
  </si>
  <si>
    <t>10.   OBSERVACIONES</t>
  </si>
  <si>
    <t>*</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</si>
  <si>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</si>
  <si>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</si>
  <si>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</si>
  <si>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</si>
  <si>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El equipo  fue calibrado para suministrar líquido por el método gravimétrico, usando agua grado 3.</t>
  </si>
  <si>
    <t>Se instala precinto de seguridad, sobre la escala de medición, identificado con el número:</t>
  </si>
  <si>
    <t>Se realiza el pre-mojado con un llenado y  drenando en un tiempo mínimo  de 60 s ±10 s.</t>
  </si>
  <si>
    <t>Se efectuaron 3 ciclos de medición para determinar la capacidad del recipiente.</t>
  </si>
  <si>
    <t>**</t>
  </si>
  <si>
    <t>En el presente certificado se usa la coma “,” como separador decimal.</t>
  </si>
  <si>
    <t>Este certificado de calibración no puede ser reproducido parcial, ni totalmente,  excepto  con  autorización  del  laboratorio  de la Superintendencia de Industria y Comercio.</t>
  </si>
  <si>
    <t>Para efectos de la calibración se tomo como referencia la escala izquierda de la reglilla graduada.</t>
  </si>
  <si>
    <t>El certificado de calibración sin las firmas autorizadas no es válido.</t>
  </si>
  <si>
    <t>(* RVC) Recipiente volumétrico calibrado.</t>
  </si>
  <si>
    <t>Los resultados de la calibración son trazables al Sistema Internacional (SI).</t>
  </si>
  <si>
    <t>La incertidumbre estándar de medición se multiplica por un factor de cobertura "k"=2.</t>
  </si>
  <si>
    <t>La verificación de la escala no hace parte del alcance reportado para el alcance acreditado.</t>
  </si>
  <si>
    <t>FIRMAS AUTORIZADAS:</t>
  </si>
  <si>
    <t>Firma Autorizada</t>
  </si>
  <si>
    <t>Calibrado por</t>
  </si>
  <si>
    <t xml:space="preserve">Fecha de elaboración:  </t>
  </si>
  <si>
    <t xml:space="preserve">Fecha de emisión:  </t>
  </si>
  <si>
    <t>…………………..Fin de este documento………………………</t>
  </si>
  <si>
    <r>
      <t>in</t>
    </r>
    <r>
      <rPr>
        <i/>
        <vertAlign val="superscript"/>
        <sz val="12"/>
        <rFont val="Arial"/>
        <family val="2"/>
      </rPr>
      <t>3</t>
    </r>
  </si>
  <si>
    <t>Se efectuaron 3 ciclos de medición para determinar la capacidad del recipiente después de ajuste.</t>
  </si>
  <si>
    <t>La escala fue verificada en el intervalo de medición.</t>
  </si>
  <si>
    <t>INM 6564</t>
  </si>
  <si>
    <t>INM 6385</t>
  </si>
  <si>
    <t>INM 6562</t>
  </si>
  <si>
    <t>2023-04-03</t>
  </si>
  <si>
    <t>INM 6596</t>
  </si>
  <si>
    <t>INM 6597</t>
  </si>
  <si>
    <t>2023-04-11</t>
  </si>
  <si>
    <t>INM 6608</t>
  </si>
  <si>
    <t>2023-04-05</t>
  </si>
  <si>
    <t>INM 6603</t>
  </si>
  <si>
    <t>2023-03-28</t>
  </si>
  <si>
    <t>INM 6588</t>
  </si>
  <si>
    <t>INM 6591</t>
  </si>
  <si>
    <t>1 099,608</t>
  </si>
  <si>
    <t>INM 6390</t>
  </si>
  <si>
    <t>INM 6593</t>
  </si>
  <si>
    <t>2023-04-24</t>
  </si>
  <si>
    <t>INM 6639</t>
  </si>
  <si>
    <t>INM 6638</t>
  </si>
  <si>
    <t>INM 6643</t>
  </si>
  <si>
    <t>INM 6659</t>
  </si>
  <si>
    <t>2023-05-08</t>
  </si>
  <si>
    <t>INM 6668</t>
  </si>
  <si>
    <t>INM 6667</t>
  </si>
  <si>
    <t>Laboratorios de calibración, avenida carrera  50 # 26-55, interior 2 del CAN, piso 5</t>
  </si>
  <si>
    <r>
      <t>in</t>
    </r>
    <r>
      <rPr>
        <vertAlign val="superscript"/>
        <sz val="12"/>
        <color theme="0"/>
        <rFont val="Arial"/>
        <family val="2"/>
      </rPr>
      <t>3</t>
    </r>
  </si>
  <si>
    <t xml:space="preserve">  V-002  
Punto 1 "hPa"</t>
  </si>
  <si>
    <t xml:space="preserve">  V-002  
Punto 2 "hPa"</t>
  </si>
  <si>
    <t xml:space="preserve">  V-002  
Punto 3 "hPa"</t>
  </si>
  <si>
    <t xml:space="preserve">  M-010    
Punto 1 "hPa"</t>
  </si>
  <si>
    <t xml:space="preserve">    M-010  
Punto 2 "hPa"</t>
  </si>
  <si>
    <t xml:space="preserve">    M-010  
Punto 3 "hPa"</t>
  </si>
  <si>
    <t xml:space="preserve">  M-011  
Punto 1 "hPa"</t>
  </si>
  <si>
    <t xml:space="preserve">  M-011  
Punto 2 "hPa"</t>
  </si>
  <si>
    <t xml:space="preserve">  M-011  
Punto 3 "hPa"</t>
  </si>
  <si>
    <t xml:space="preserve">  M-012  
Punto 1 "hPa"</t>
  </si>
  <si>
    <t xml:space="preserve">  M-012  
Punto 2 "hPa"</t>
  </si>
  <si>
    <t xml:space="preserve">  M-012  
Punto 3 "hPa"</t>
  </si>
  <si>
    <t xml:space="preserve">  M-013  
Punto 1 "hPa"</t>
  </si>
  <si>
    <t xml:space="preserve">  M-013  
Punto 2 "hPa"</t>
  </si>
  <si>
    <t xml:space="preserve">  M-013  
Punto 3 "hPa"</t>
  </si>
  <si>
    <r>
      <t>La escala fue calibrada en el intervalo de medición 5 galones ±  1 %, ± 10 in</t>
    </r>
    <r>
      <rPr>
        <vertAlign val="superscript"/>
        <sz val="12"/>
        <color theme="0"/>
        <rFont val="Arial"/>
        <family val="2"/>
      </rPr>
      <t>3</t>
    </r>
    <r>
      <rPr>
        <sz val="12"/>
        <color theme="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</si>
</sst>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164" formatCode="0.00000"/>
    <numFmt numFmtId="165" formatCode="0.0000"/>
    <numFmt numFmtId="166" formatCode="0.000"/>
    <numFmt numFmtId="167" formatCode="0.0"/>
    <numFmt numFmtId="168" formatCode="0.000000"/>
    <numFmt numFmtId="169" formatCode="yyyy\-mm\-dd;@"/>
    <numFmt numFmtId="170" formatCode="0.000000000"/>
    <numFmt numFmtId="171" formatCode="0.0000000"/>
    <numFmt numFmtId="172" formatCode="0.0_ \ &quot;hPa&quot;"/>
    <numFmt numFmtId="173" formatCode="0\ &quot;°C&quot;"/>
    <numFmt numFmtId="174" formatCode="#,##0.0"/>
    <numFmt numFmtId="175" formatCode="#,##0.000"/>
    <numFmt numFmtId="176" formatCode="0.00\ &quot;mL&quot;"/>
    <numFmt numFmtId="177" formatCode="0.E+00"/>
    <numFmt numFmtId="178" formatCode="0.00000000"/>
    <numFmt numFmtId="179" formatCode="0.0000000000"/>
    <numFmt numFmtId="180" formatCode="0.0%"/>
    <numFmt numFmtId="181" formatCode="0.0E+00"/>
    <numFmt numFmtId="182" formatCode="0.000%"/>
    <numFmt numFmtId="183" formatCode="0.0000%"/>
    <numFmt numFmtId="184" formatCode="0.000000%"/>
    <numFmt numFmtId="185" formatCode="0.0000000%"/>
    <numFmt numFmtId="186" formatCode="0\ 000"/>
    <numFmt numFmtId="187" formatCode="0.0_ "/>
    <numFmt numFmtId="188" formatCode="0.0_ \ "/>
    <numFmt numFmtId="189" formatCode="0.0\ &quot;°C&quot;"/>
    <numFmt numFmtId="190" formatCode="##\ 000.00"/>
    <numFmt numFmtId="191" formatCode="#0\ 000.0"/>
    <numFmt numFmtId="192" formatCode="#0.###\ ##"/>
    <numFmt numFmtId="193" formatCode="#0.####\ ##"/>
    <numFmt numFmtId="194" formatCode="0.00000000000"/>
  </numFmts>
  <fonts count="93"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sz val="12"/>
      <color theme="1"/>
      <name val="Arial"/>
      <family val="2"/>
    </font>
    <font>
      <b/>
      <sz val="14"/>
      <color theme="1"/>
      <name val="Arial"/>
      <family val="2"/>
    </font>
    <font>
      <b/>
      <sz val="12"/>
      <color rgb="FF000000"/>
      <name val="Arial"/>
      <family val="2"/>
    </font>
    <font>
      <b/>
      <sz val="10"/>
      <color theme="1"/>
      <name val="Arial"/>
      <family val="2"/>
    </font>
    <font>
      <sz val="12"/>
      <color theme="1"/>
      <name val="Arial Narrow"/>
      <family val="2"/>
    </font>
    <font>
      <sz val="12"/>
      <color rgb="FF006100"/>
      <name val="Tahoma"/>
      <family val="2"/>
    </font>
    <font>
      <b/>
      <sz val="12"/>
      <color theme="0"/>
      <name val="Arial"/>
      <family val="2"/>
    </font>
    <font>
      <b/>
      <sz val="12"/>
      <name val="Arial"/>
      <family val="2"/>
    </font>
    <font>
      <i/>
      <sz val="12"/>
      <color theme="1"/>
      <name val="Arial"/>
      <family val="2"/>
    </font>
    <font>
      <b/>
      <sz val="10"/>
      <name val="Arial"/>
      <family val="2"/>
    </font>
    <font>
      <sz val="10"/>
      <color theme="1"/>
      <name val="Arial"/>
      <family val="2"/>
    </font>
    <font>
      <b/>
      <vertAlign val="subscript"/>
      <sz val="12"/>
      <color theme="1"/>
      <name val="Arial"/>
      <family val="2"/>
    </font>
    <font>
      <b/>
      <sz val="14"/>
      <color theme="0"/>
      <name val="Arial"/>
      <family val="2"/>
    </font>
    <font>
      <b/>
      <sz val="8"/>
      <color theme="1"/>
      <name val="Arial"/>
      <family val="2"/>
    </font>
    <font>
      <b/>
      <vertAlign val="superscript"/>
      <sz val="10"/>
      <color theme="1"/>
      <name val="Arial"/>
      <family val="2"/>
    </font>
    <font>
      <sz val="10"/>
      <name val="Arial"/>
      <family val="2"/>
    </font>
    <font>
      <b/>
      <i/>
      <sz val="12"/>
      <color theme="1"/>
      <name val="Arial"/>
      <family val="2"/>
    </font>
    <font>
      <b/>
      <sz val="9"/>
      <name val="Arial"/>
      <family val="2"/>
    </font>
    <font>
      <b/>
      <sz val="18"/>
      <color theme="1"/>
      <name val="Arial"/>
      <family val="2"/>
    </font>
    <font>
      <b/>
      <vertAlign val="superscript"/>
      <sz val="12"/>
      <color theme="1"/>
      <name val="Arial"/>
      <family val="2"/>
    </font>
    <font>
      <vertAlign val="superscript"/>
      <sz val="12"/>
      <color theme="1"/>
      <name val="Arial"/>
      <family val="2"/>
    </font>
    <font>
      <b/>
      <vertAlign val="subscript"/>
      <sz val="14"/>
      <color theme="0"/>
      <name val="Arial"/>
      <family val="2"/>
    </font>
    <font>
      <b/>
      <sz val="14"/>
      <color rgb="FFFFFFFF"/>
      <name val="Arial"/>
      <family val="2"/>
    </font>
    <font>
      <b/>
      <vertAlign val="subscript"/>
      <sz val="14"/>
      <color rgb="FFFFFFFF"/>
      <name val="Arial"/>
      <family val="2"/>
    </font>
    <font>
      <sz val="12"/>
      <color rgb="FF000000"/>
      <name val="Arial"/>
      <family val="2"/>
    </font>
    <font>
      <sz val="12"/>
      <name val="Arial"/>
      <family val="2"/>
    </font>
    <font>
      <sz val="12"/>
      <color theme="0"/>
      <name val="Arial"/>
      <family val="2"/>
    </font>
    <font>
      <b/>
      <i/>
      <sz val="12"/>
      <name val="Arial"/>
      <family val="2"/>
    </font>
    <font>
      <sz val="11"/>
      <color rgb="FF006100"/>
      <name val="Calibri"/>
      <family val="2"/>
      <scheme val="minor"/>
    </font>
    <font>
      <vertAlign val="superscript"/>
      <sz val="14"/>
      <color rgb="FFFFFFFF"/>
      <name val="Arial"/>
      <family val="2"/>
    </font>
    <font>
      <sz val="9"/>
      <color indexed="81"/>
      <name val="Tahoma"/>
      <family val="2"/>
    </font>
    <font>
      <b/>
      <sz val="9"/>
      <color indexed="81"/>
      <name val="Tahoma"/>
      <family val="2"/>
    </font>
    <font>
      <b/>
      <i/>
      <sz val="12"/>
      <color theme="0"/>
      <name val="Arial"/>
      <family val="2"/>
    </font>
    <font>
      <sz val="11"/>
      <color theme="1"/>
      <name val="Calibri"/>
      <family val="2"/>
      <scheme val="minor"/>
    </font>
    <font>
      <b/>
      <vertAlign val="superscript"/>
      <sz val="12"/>
      <color theme="0"/>
      <name val="Arial"/>
      <family val="2"/>
    </font>
    <font>
      <sz val="11"/>
      <name val="Calibri"/>
      <family val="2"/>
      <scheme val="minor"/>
    </font>
    <font>
      <sz val="12"/>
      <name val="Arial Narrow"/>
      <family val="2"/>
    </font>
    <font>
      <b/>
      <sz val="12"/>
      <name val="Arial Narrow"/>
      <family val="2"/>
    </font>
    <font>
      <sz val="11"/>
      <name val="Arial"/>
      <family val="2"/>
    </font>
    <font>
      <b/>
      <sz val="11"/>
      <name val="Arial"/>
      <family val="2"/>
    </font>
    <font>
      <sz val="10"/>
      <color theme="0"/>
      <name val="Arial"/>
      <family val="2"/>
    </font>
    <font>
      <vertAlign val="superscript"/>
      <sz val="12"/>
      <name val="Arial"/>
      <family val="2"/>
    </font>
    <font>
      <b/>
      <vertAlign val="superscript"/>
      <sz val="12"/>
      <name val="Arial"/>
      <family val="2"/>
    </font>
    <font>
      <sz val="14"/>
      <name val="Calibri"/>
      <family val="2"/>
      <scheme val="minor"/>
    </font>
    <font>
      <sz val="14"/>
      <name val="Arial"/>
      <family val="2"/>
    </font>
    <font>
      <b/>
      <sz val="14"/>
      <name val="Arial"/>
      <family val="2"/>
    </font>
    <font>
      <vertAlign val="superscript"/>
      <sz val="14"/>
      <name val="Arial"/>
      <family val="2"/>
    </font>
    <font>
      <sz val="18"/>
      <name val="Calibri"/>
      <family val="2"/>
      <scheme val="minor"/>
    </font>
    <font>
      <b/>
      <i/>
      <vertAlign val="subscript"/>
      <sz val="12"/>
      <name val="Arial"/>
      <family val="2"/>
    </font>
    <font>
      <b/>
      <vertAlign val="subscript"/>
      <sz val="12"/>
      <name val="Arial"/>
      <family val="2"/>
    </font>
    <font>
      <b/>
      <sz val="11"/>
      <name val="Calibri"/>
      <family val="2"/>
      <scheme val="minor"/>
    </font>
    <font>
      <vertAlign val="superscript"/>
      <sz val="11"/>
      <name val="Arial"/>
      <family val="2"/>
    </font>
    <font>
      <b/>
      <vertAlign val="subscript"/>
      <sz val="11"/>
      <name val="Arial"/>
      <family val="2"/>
    </font>
    <font>
      <b/>
      <vertAlign val="superscript"/>
      <sz val="11"/>
      <name val="Arial"/>
      <family val="2"/>
    </font>
    <font>
      <b/>
      <i/>
      <sz val="10"/>
      <name val="Arial"/>
      <family val="2"/>
    </font>
    <font>
      <b/>
      <i/>
      <vertAlign val="subscript"/>
      <sz val="10"/>
      <name val="Arial"/>
      <family val="2"/>
    </font>
    <font>
      <b/>
      <vertAlign val="subscript"/>
      <sz val="10"/>
      <name val="Arial"/>
      <family val="2"/>
    </font>
    <font>
      <b/>
      <vertAlign val="superscript"/>
      <sz val="10"/>
      <name val="Arial"/>
      <family val="2"/>
    </font>
    <font>
      <b/>
      <i/>
      <vertAlign val="superscript"/>
      <sz val="10"/>
      <name val="Arial"/>
      <family val="2"/>
    </font>
    <font>
      <b/>
      <sz val="16"/>
      <color theme="0"/>
      <name val="Arial"/>
      <family val="2"/>
    </font>
    <font>
      <sz val="12"/>
      <name val="Calibri"/>
      <family val="2"/>
      <scheme val="minor"/>
    </font>
    <font>
      <b/>
      <sz val="18"/>
      <color theme="0"/>
      <name val="Arial"/>
      <family val="2"/>
    </font>
    <font>
      <b/>
      <sz val="20"/>
      <color theme="0"/>
      <name val="Arial"/>
      <family val="2"/>
    </font>
    <font>
      <b/>
      <sz val="11"/>
      <color rgb="FFFFFFFF"/>
      <name val="Arial"/>
      <family val="2"/>
    </font>
    <font>
      <b/>
      <sz val="24"/>
      <name val="Arial"/>
      <family val="2"/>
    </font>
    <font>
      <b/>
      <vertAlign val="superscript"/>
      <sz val="14"/>
      <name val="Arial"/>
      <family val="2"/>
    </font>
    <font>
      <sz val="12"/>
      <name val="Calibri"/>
      <family val="2"/>
    </font>
    <font>
      <vertAlign val="subscript"/>
      <sz val="12"/>
      <name val="Calibri"/>
      <family val="2"/>
    </font>
    <font>
      <sz val="12"/>
      <color theme="0"/>
      <name val="Arial Narrow"/>
      <family val="2"/>
    </font>
    <font>
      <b/>
      <i/>
      <sz val="12"/>
      <name val="Arial Narrow"/>
      <family val="2"/>
    </font>
    <font>
      <b/>
      <i/>
      <sz val="11"/>
      <name val="Arial"/>
      <family val="2"/>
    </font>
    <font>
      <i/>
      <sz val="11"/>
      <name val="Arial"/>
      <family val="2"/>
    </font>
    <font>
      <sz val="11"/>
      <name val="Arial Narrow"/>
      <family val="2"/>
    </font>
    <font>
      <sz val="10"/>
      <name val="Arial Narrow"/>
      <family val="2"/>
    </font>
    <font>
      <vertAlign val="superscript"/>
      <sz val="10"/>
      <name val="Arial"/>
      <family val="2"/>
    </font>
    <font>
      <i/>
      <sz val="12"/>
      <name val="Arial"/>
      <family val="2"/>
    </font>
    <font>
      <b/>
      <i/>
      <vertAlign val="superscript"/>
      <sz val="12"/>
      <name val="Arial"/>
      <family val="2"/>
    </font>
    <font>
      <b/>
      <sz val="10"/>
      <color theme="0"/>
      <name val="Arial"/>
      <family val="2"/>
    </font>
    <font>
      <i/>
      <sz val="12"/>
      <name val="Arial Narrow"/>
      <family val="2"/>
    </font>
    <font>
      <i/>
      <vertAlign val="superscript"/>
      <sz val="12"/>
      <name val="Arial"/>
      <family val="2"/>
    </font>
    <font>
      <b/>
      <i/>
      <vertAlign val="subscript"/>
      <sz val="12"/>
      <color theme="1"/>
      <name val="Arial"/>
      <family val="2"/>
    </font>
    <font>
      <sz val="14"/>
      <color theme="0"/>
      <name val="Arial"/>
      <family val="2"/>
    </font>
    <font>
      <b/>
      <vertAlign val="superscript"/>
      <sz val="14"/>
      <color theme="0"/>
      <name val="Arial"/>
      <family val="2"/>
    </font>
    <font>
      <sz val="12"/>
      <color rgb="FFFF0000"/>
      <name val="Arial"/>
      <family val="2"/>
    </font>
    <font>
      <sz val="12"/>
      <color rgb="FFFF0000"/>
      <name val="Calibri"/>
      <family val="2"/>
      <scheme val="minor"/>
    </font>
    <font>
      <b/>
      <sz val="12"/>
      <color rgb="FFFF0000"/>
      <name val="Arial"/>
      <family val="2"/>
    </font>
    <font>
      <vertAlign val="superscript"/>
      <sz val="12"/>
      <color theme="0"/>
      <name val="Arial"/>
      <family val="2"/>
    </font>
    <font>
      <sz val="11"/>
      <color theme="0"/>
      <name val="Arial Narrow"/>
      <family val="2"/>
    </font>
  </fonts>
  <fills count="2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9BC2E6"/>
        <bgColor indexed="64"/>
      </patternFill>
    </fill>
    <fill>
      <patternFill patternType="solid">
        <fgColor rgb="FFFCE4D6"/>
        <bgColor indexed="64"/>
      </patternFill>
    </fill>
    <fill>
      <patternFill patternType="solid">
        <fgColor rgb="FFDDEBF7"/>
        <bgColor indexed="64"/>
      </patternFill>
    </fill>
    <fill>
      <patternFill patternType="solid">
        <fgColor rgb="FF1F4E78"/>
        <bgColor indexed="64"/>
      </patternFill>
    </fill>
    <fill>
      <patternFill patternType="solid">
        <fgColor rgb="FFFF0000"/>
        <bgColor indexed="64"/>
      </patternFill>
    </fill>
    <fill>
      <patternFill patternType="solid">
        <fgColor rgb="FFC6EFCE"/>
      </patternFill>
    </fill>
    <fill>
      <patternFill patternType="solid">
        <fgColor rgb="FFF2DCDB"/>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81B0E4"/>
        <bgColor indexed="64"/>
      </patternFill>
    </fill>
    <fill>
      <patternFill patternType="darkGray">
        <bgColor rgb="FFFFFF00"/>
      </patternFill>
    </fill>
    <fill>
      <gradientFill degree="90">
        <stop position="0">
          <color theme="0"/>
        </stop>
        <stop position="1">
          <color rgb="FFFFFF00"/>
        </stop>
      </gradientFill>
    </fill>
    <fill>
      <gradientFill type="path" left="1" right="1">
        <stop position="0">
          <color rgb="FF7030A0"/>
        </stop>
        <stop position="1">
          <color rgb="FFFFFF00"/>
        </stop>
      </gradientFill>
    </fill>
    <fill>
      <patternFill patternType="solid">
        <fgColor rgb="FF073763"/>
        <bgColor indexed="64"/>
      </patternFill>
    </fill>
    <fill>
      <gradientFill degree="90">
        <stop position="0">
          <color rgb="FFFFFF00"/>
        </stop>
        <stop position="1">
          <color rgb="FF7030A0"/>
        </stop>
      </gradientFill>
    </fill>
    <fill>
      <patternFill patternType="darkGray">
        <bgColor rgb="FF0070C0"/>
      </patternFill>
    </fill>
    <fill>
      <patternFill patternType="solid">
        <fgColor theme="9" tint="0.59999389629810485"/>
        <bgColor indexed="64"/>
      </patternFill>
    </fill>
    <fill>
      <patternFill patternType="solid">
        <fgColor theme="3" tint="0.39997558519241921"/>
        <bgColor indexed="64"/>
      </patternFill>
    </fill>
    <fill>
      <patternFill patternType="solid">
        <fgColor theme="8"/>
        <bgColor indexed="64"/>
      </patternFill>
    </fill>
    <fill>
      <patternFill patternType="solid">
        <fgColor theme="0"/>
        <bgColor auto="1"/>
      </patternFill>
    </fill>
    <fill>
      <patternFill patternType="solid">
        <fgColor rgb="FFFF9999"/>
        <bgColor rgb="FFFF9999"/>
      </patternFill>
    </fill>
    <fill>
      <patternFill patternType="solid">
        <fgColor rgb="FF438AD8"/>
        <bgColor indexed="64"/>
      </patternFill>
    </fill>
  </fills>
  <borders count="8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thin">
        <color indexed="64"/>
      </top>
      <bottom/>
      <diagonal/>
    </border>
  </borders>
  <cellStyleXfs count="13">
    <xf numFmtId="0" fontId="0" fillId="0" borderId="0"/>
    <xf numFmtId="0" fontId="10" fillId="9" borderId="0" applyNumberFormat="0" applyBorder="0" applyAlignment="0" applyProtection="0"/>
    <xf numFmtId="0" fontId="15" fillId="15" borderId="8">
      <alignment horizontal="center" vertical="center" wrapText="1"/>
    </xf>
    <xf numFmtId="0" fontId="15" fillId="12" borderId="8">
      <alignment horizontal="center" vertical="center" wrapText="1"/>
    </xf>
    <xf numFmtId="0" fontId="15" fillId="16" borderId="8">
      <alignment horizontal="center" vertical="center" wrapText="1"/>
    </xf>
    <xf numFmtId="0" fontId="9" fillId="2" borderId="0">
      <alignment horizontal="center"/>
    </xf>
    <xf numFmtId="0" fontId="9" fillId="17" borderId="0">
      <alignment horizontal="center"/>
    </xf>
    <xf numFmtId="0" fontId="15" fillId="8" borderId="9">
      <alignment horizontal="center"/>
    </xf>
    <xf numFmtId="0" fontId="33" fillId="9" borderId="0" applyNumberFormat="0" applyBorder="0" applyAlignment="0" applyProtection="0"/>
    <xf numFmtId="2" fontId="15" fillId="19" borderId="38" applyFont="0" applyBorder="0" applyAlignment="0">
      <alignment horizontal="center" vertical="center" wrapText="1"/>
      <protection locked="0"/>
    </xf>
    <xf numFmtId="0" fontId="5" fillId="20" borderId="9" applyBorder="0">
      <alignment horizontal="center" vertical="center"/>
    </xf>
    <xf numFmtId="9" fontId="38" fillId="0" borderId="0" applyFont="0" applyFill="0" applyBorder="0" applyAlignment="0" applyProtection="0"/>
    <xf numFmtId="0" fontId="20" fillId="0" borderId="0"/>
  </cellStyleXfs>
  <cellXfs count="2042">
    <xf numFmtId="0" fontId="0" fillId="0" borderId="0" xfId="0"/>
    <xf numFmtId="0" fontId="5" fillId="0" borderId="0" xfId="0" applyFont="1" applyProtection="1">
      <protection hidden="1"/>
    </xf>
    <xf numFmtId="0" fontId="9" fillId="17" borderId="1" xfId="6" applyBorder="1" applyAlignment="1" applyProtection="1">
      <alignment horizontal="center" vertical="center"/>
      <protection locked="0" hidden="1"/>
    </xf>
    <xf numFmtId="0" fontId="5" fillId="0" borderId="0" xfId="0" applyFont="1" applyAlignment="1" applyProtection="1">
      <alignment vertical="center" wrapText="1"/>
      <protection hidden="1"/>
    </xf>
    <xf numFmtId="0" fontId="5" fillId="2" borderId="0" xfId="0" applyFont="1" applyFill="1" applyAlignment="1" applyProtection="1">
      <alignment vertical="center" wrapText="1"/>
      <protection hidden="1"/>
    </xf>
    <xf numFmtId="0" fontId="4" fillId="2" borderId="72" xfId="0" applyFont="1" applyFill="1" applyBorder="1" applyAlignment="1" applyProtection="1">
      <alignment horizontal="right"/>
      <protection hidden="1"/>
    </xf>
    <xf numFmtId="2" fontId="15" fillId="13" borderId="53" xfId="0" applyNumberFormat="1" applyFont="1" applyFill="1" applyBorder="1" applyAlignment="1" applyProtection="1">
      <alignment vertical="center" wrapText="1"/>
      <protection hidden="1"/>
    </xf>
    <xf numFmtId="2" fontId="15" fillId="13" borderId="54" xfId="0" applyNumberFormat="1" applyFont="1" applyFill="1" applyBorder="1" applyAlignment="1" applyProtection="1">
      <alignment vertical="center" wrapText="1"/>
      <protection hidden="1"/>
    </xf>
    <xf numFmtId="1" fontId="15" fillId="13" borderId="52" xfId="0" applyNumberFormat="1" applyFont="1" applyFill="1" applyBorder="1" applyAlignment="1" applyProtection="1">
      <alignment vertical="center" wrapText="1"/>
      <protection hidden="1"/>
    </xf>
    <xf numFmtId="1" fontId="15" fillId="13" borderId="58" xfId="0" applyNumberFormat="1" applyFont="1" applyFill="1" applyBorder="1" applyAlignment="1" applyProtection="1">
      <alignment vertical="center" wrapText="1"/>
      <protection hidden="1"/>
    </xf>
    <xf numFmtId="0" fontId="4" fillId="4" borderId="40" xfId="0" applyFont="1" applyFill="1" applyBorder="1" applyAlignment="1" applyProtection="1">
      <alignment horizontal="center" vertical="center"/>
      <protection hidden="1"/>
    </xf>
    <xf numFmtId="0" fontId="4" fillId="2" borderId="73" xfId="0" applyFont="1" applyFill="1" applyBorder="1" applyAlignment="1" applyProtection="1">
      <alignment horizontal="right"/>
      <protection hidden="1"/>
    </xf>
    <xf numFmtId="0" fontId="4" fillId="2" borderId="5" xfId="0" applyFont="1" applyFill="1" applyBorder="1" applyAlignment="1" applyProtection="1">
      <alignment horizontal="center"/>
      <protection hidden="1"/>
    </xf>
    <xf numFmtId="0" fontId="4" fillId="2" borderId="7" xfId="0" applyFont="1" applyFill="1" applyBorder="1" applyAlignment="1" applyProtection="1">
      <alignment horizontal="right"/>
      <protection hidden="1"/>
    </xf>
    <xf numFmtId="0" fontId="27" fillId="3" borderId="28" xfId="0" applyFont="1" applyFill="1" applyBorder="1" applyAlignment="1" applyProtection="1">
      <alignment horizontal="center" vertical="center" wrapText="1"/>
      <protection hidden="1"/>
    </xf>
    <xf numFmtId="0" fontId="6" fillId="3" borderId="30" xfId="0" applyFont="1" applyFill="1" applyBorder="1" applyAlignment="1" applyProtection="1">
      <alignment vertical="top" wrapText="1"/>
      <protection hidden="1"/>
    </xf>
    <xf numFmtId="0" fontId="6" fillId="3" borderId="40" xfId="0" applyFont="1" applyFill="1" applyBorder="1" applyAlignment="1" applyProtection="1">
      <alignment vertical="center" wrapText="1"/>
      <protection hidden="1"/>
    </xf>
    <xf numFmtId="0" fontId="4" fillId="4" borderId="28" xfId="0" applyFont="1" applyFill="1" applyBorder="1" applyAlignment="1" applyProtection="1">
      <alignment horizontal="center" vertical="center"/>
      <protection hidden="1"/>
    </xf>
    <xf numFmtId="0" fontId="4" fillId="4" borderId="30" xfId="0" applyFont="1" applyFill="1" applyBorder="1" applyAlignment="1" applyProtection="1">
      <alignment horizontal="center" vertical="center" wrapText="1"/>
      <protection hidden="1"/>
    </xf>
    <xf numFmtId="0" fontId="4" fillId="4" borderId="40" xfId="0" applyFont="1" applyFill="1" applyBorder="1" applyAlignment="1" applyProtection="1">
      <alignment horizontal="center" vertical="center" wrapText="1"/>
      <protection hidden="1"/>
    </xf>
    <xf numFmtId="0" fontId="4" fillId="4" borderId="65" xfId="0" applyFont="1" applyFill="1" applyBorder="1" applyAlignment="1" applyProtection="1">
      <alignment horizontal="center" vertical="center" wrapText="1"/>
      <protection hidden="1"/>
    </xf>
    <xf numFmtId="0" fontId="4" fillId="4" borderId="66" xfId="0" applyFont="1" applyFill="1" applyBorder="1" applyAlignment="1" applyProtection="1">
      <alignment horizontal="center" vertical="center"/>
      <protection hidden="1"/>
    </xf>
    <xf numFmtId="0" fontId="4" fillId="4" borderId="19"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1" xfId="0" applyFont="1" applyFill="1" applyBorder="1" applyAlignment="1" applyProtection="1">
      <alignment vertical="center" wrapText="1"/>
      <protection hidden="1"/>
    </xf>
    <xf numFmtId="2" fontId="9" fillId="17" borderId="1" xfId="6" applyNumberFormat="1" applyBorder="1" applyAlignment="1" applyProtection="1">
      <alignment horizontal="center" vertical="center"/>
      <protection locked="0" hidden="1"/>
    </xf>
    <xf numFmtId="0" fontId="4" fillId="4" borderId="9" xfId="0" applyFont="1" applyFill="1" applyBorder="1" applyAlignment="1" applyProtection="1">
      <alignment horizontal="center" vertical="center" wrapText="1"/>
      <protection hidden="1"/>
    </xf>
    <xf numFmtId="0" fontId="4" fillId="4" borderId="39" xfId="0" applyFont="1" applyFill="1" applyBorder="1" applyAlignment="1" applyProtection="1">
      <alignment horizontal="center" vertical="center"/>
      <protection hidden="1"/>
    </xf>
    <xf numFmtId="0" fontId="4" fillId="4" borderId="32" xfId="0" applyFont="1" applyFill="1" applyBorder="1" applyAlignment="1" applyProtection="1">
      <alignment horizontal="center" vertical="center" wrapText="1"/>
      <protection hidden="1"/>
    </xf>
    <xf numFmtId="0" fontId="4" fillId="4" borderId="41" xfId="0" applyFont="1" applyFill="1" applyBorder="1" applyAlignment="1" applyProtection="1">
      <alignment horizontal="center" vertical="center" wrapText="1"/>
      <protection hidden="1"/>
    </xf>
    <xf numFmtId="0" fontId="4" fillId="4" borderId="28"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4" fillId="4" borderId="21" xfId="0" applyFont="1" applyFill="1" applyBorder="1" applyAlignment="1" applyProtection="1">
      <alignment horizontal="center" vertical="center"/>
      <protection hidden="1"/>
    </xf>
    <xf numFmtId="0" fontId="4" fillId="3" borderId="37" xfId="0" applyFont="1" applyFill="1" applyBorder="1" applyAlignment="1" applyProtection="1">
      <alignment horizontal="center" vertical="center" wrapText="1"/>
      <protection hidden="1"/>
    </xf>
    <xf numFmtId="0" fontId="4" fillId="3" borderId="30" xfId="0" applyFont="1" applyFill="1" applyBorder="1" applyAlignment="1" applyProtection="1">
      <alignment horizontal="center" vertical="center" wrapText="1"/>
      <protection hidden="1"/>
    </xf>
    <xf numFmtId="0" fontId="4" fillId="3" borderId="40" xfId="0" applyFont="1" applyFill="1" applyBorder="1" applyAlignment="1" applyProtection="1">
      <alignment horizontal="center" vertical="center" wrapText="1"/>
      <protection hidden="1"/>
    </xf>
    <xf numFmtId="0" fontId="4" fillId="4" borderId="17" xfId="0" applyFont="1" applyFill="1" applyBorder="1" applyAlignment="1" applyProtection="1">
      <alignment horizontal="center" vertical="center" wrapText="1"/>
      <protection hidden="1"/>
    </xf>
    <xf numFmtId="166" fontId="29" fillId="6" borderId="25" xfId="0" applyNumberFormat="1" applyFont="1" applyFill="1" applyBorder="1" applyAlignment="1" applyProtection="1">
      <alignment horizontal="center" vertical="center" wrapText="1"/>
      <protection hidden="1"/>
    </xf>
    <xf numFmtId="2" fontId="4" fillId="6" borderId="1" xfId="0" applyNumberFormat="1" applyFont="1" applyFill="1" applyBorder="1" applyAlignment="1" applyProtection="1">
      <alignment horizontal="center" vertical="center" wrapText="1"/>
      <protection hidden="1"/>
    </xf>
    <xf numFmtId="0" fontId="4" fillId="2" borderId="7" xfId="0" applyFont="1" applyFill="1" applyBorder="1" applyAlignment="1" applyProtection="1">
      <alignment vertical="center" wrapText="1"/>
      <protection hidden="1"/>
    </xf>
    <xf numFmtId="0" fontId="4" fillId="2" borderId="8" xfId="0" applyFont="1" applyFill="1" applyBorder="1" applyAlignment="1" applyProtection="1">
      <alignment horizontal="center" vertical="center" wrapText="1"/>
      <protection hidden="1"/>
    </xf>
    <xf numFmtId="166" fontId="4" fillId="6" borderId="6" xfId="0" applyNumberFormat="1" applyFont="1" applyFill="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4" fillId="0" borderId="0" xfId="0" applyFont="1" applyAlignment="1" applyProtection="1">
      <alignment vertical="center" wrapText="1"/>
      <protection hidden="1"/>
    </xf>
    <xf numFmtId="0" fontId="11" fillId="2" borderId="0" xfId="0" applyFont="1" applyFill="1" applyAlignment="1" applyProtection="1">
      <alignment vertical="center" wrapText="1"/>
      <protection hidden="1"/>
    </xf>
    <xf numFmtId="0" fontId="9" fillId="0" borderId="0" xfId="0" applyFont="1" applyProtection="1">
      <protection hidden="1"/>
    </xf>
    <xf numFmtId="0" fontId="4" fillId="4" borderId="27" xfId="0" applyFont="1" applyFill="1" applyBorder="1" applyAlignment="1">
      <alignment horizontal="center" vertical="center"/>
    </xf>
    <xf numFmtId="0" fontId="4" fillId="4" borderId="64" xfId="0" applyFont="1" applyFill="1" applyBorder="1" applyAlignment="1">
      <alignment horizontal="center" vertical="center" wrapText="1"/>
    </xf>
    <xf numFmtId="0" fontId="4" fillId="4" borderId="64" xfId="0" applyFont="1" applyFill="1" applyBorder="1" applyAlignment="1">
      <alignment horizontal="center" vertical="center"/>
    </xf>
    <xf numFmtId="0" fontId="4" fillId="4" borderId="69" xfId="0" applyFont="1" applyFill="1" applyBorder="1" applyAlignment="1">
      <alignment horizontal="center" vertical="center"/>
    </xf>
    <xf numFmtId="0" fontId="30" fillId="0" borderId="0" xfId="0" applyFont="1" applyAlignment="1" applyProtection="1">
      <alignment horizontal="center" vertical="center" wrapText="1"/>
      <protection hidden="1"/>
    </xf>
    <xf numFmtId="0" fontId="30" fillId="0" borderId="0" xfId="0" applyFont="1" applyProtection="1">
      <protection hidden="1"/>
    </xf>
    <xf numFmtId="0" fontId="30"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3" fillId="0" borderId="0" xfId="0" applyFont="1" applyProtection="1">
      <protection hidden="1"/>
    </xf>
    <xf numFmtId="0" fontId="30" fillId="0" borderId="0" xfId="0" applyFont="1" applyAlignment="1" applyProtection="1">
      <alignment horizontal="left" vertical="center" wrapText="1"/>
      <protection hidden="1"/>
    </xf>
    <xf numFmtId="0" fontId="41" fillId="17" borderId="1" xfId="6" applyFont="1" applyBorder="1" applyAlignment="1" applyProtection="1">
      <alignment horizontal="center" vertical="center"/>
      <protection locked="0" hidden="1"/>
    </xf>
    <xf numFmtId="0" fontId="30" fillId="0" borderId="4" xfId="0" applyFont="1" applyBorder="1" applyAlignment="1" applyProtection="1">
      <alignment horizontal="center" vertical="center" wrapText="1"/>
      <protection hidden="1"/>
    </xf>
    <xf numFmtId="0" fontId="41" fillId="17" borderId="1" xfId="6" applyFont="1" applyBorder="1" applyAlignment="1" applyProtection="1">
      <alignment horizontal="center" vertical="center" wrapText="1"/>
      <protection locked="0" hidden="1"/>
    </xf>
    <xf numFmtId="0" fontId="30" fillId="2" borderId="0" xfId="0" applyFont="1" applyFill="1" applyAlignment="1" applyProtection="1">
      <alignment horizontal="center" vertical="center" wrapText="1"/>
      <protection hidden="1"/>
    </xf>
    <xf numFmtId="0" fontId="30" fillId="2" borderId="46" xfId="0" applyFont="1" applyFill="1" applyBorder="1" applyAlignment="1" applyProtection="1">
      <alignment horizontal="center" vertical="center" wrapText="1"/>
      <protection hidden="1"/>
    </xf>
    <xf numFmtId="0" fontId="41" fillId="17" borderId="68" xfId="6" applyFont="1" applyBorder="1" applyAlignment="1" applyProtection="1">
      <alignment horizontal="center" vertical="center" wrapText="1"/>
      <protection locked="0" hidden="1"/>
    </xf>
    <xf numFmtId="0" fontId="30" fillId="2" borderId="46" xfId="0" applyFont="1" applyFill="1" applyBorder="1" applyAlignment="1" applyProtection="1">
      <alignment horizontal="center" vertical="center" wrapText="1"/>
      <protection locked="0" hidden="1"/>
    </xf>
    <xf numFmtId="0" fontId="41" fillId="17" borderId="67" xfId="6" applyFont="1" applyBorder="1" applyAlignment="1" applyProtection="1">
      <alignment horizontal="center" vertical="center" wrapText="1"/>
      <protection locked="0" hidden="1"/>
    </xf>
    <xf numFmtId="0" fontId="41" fillId="17" borderId="47" xfId="6" applyFont="1" applyBorder="1" applyAlignment="1" applyProtection="1">
      <alignment horizontal="center" vertical="center" wrapText="1"/>
      <protection locked="0" hidden="1"/>
    </xf>
    <xf numFmtId="0" fontId="41" fillId="17" borderId="36" xfId="6" applyFont="1" applyBorder="1" applyAlignment="1" applyProtection="1">
      <alignment horizontal="center" vertical="center" wrapText="1"/>
      <protection locked="0" hidden="1"/>
    </xf>
    <xf numFmtId="0" fontId="30" fillId="6" borderId="19" xfId="0" applyFont="1" applyFill="1" applyBorder="1" applyAlignment="1" applyProtection="1">
      <alignment horizontal="center" vertical="center" wrapText="1"/>
      <protection hidden="1"/>
    </xf>
    <xf numFmtId="0" fontId="41" fillId="17" borderId="8" xfId="6" applyFont="1" applyBorder="1" applyAlignment="1" applyProtection="1">
      <alignment horizontal="center" vertical="center" wrapText="1"/>
      <protection locked="0" hidden="1"/>
    </xf>
    <xf numFmtId="0" fontId="30" fillId="0" borderId="46" xfId="0" applyFont="1" applyBorder="1" applyAlignment="1" applyProtection="1">
      <alignment horizontal="center" vertical="center" wrapText="1"/>
      <protection hidden="1"/>
    </xf>
    <xf numFmtId="0" fontId="30" fillId="0" borderId="36"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1" fontId="30" fillId="0" borderId="0" xfId="0" applyNumberFormat="1" applyFont="1" applyAlignment="1" applyProtection="1">
      <alignment horizontal="center" vertical="center" wrapText="1"/>
      <protection hidden="1"/>
    </xf>
    <xf numFmtId="14" fontId="30" fillId="0" borderId="0" xfId="0" applyNumberFormat="1" applyFont="1" applyAlignment="1" applyProtection="1">
      <alignment horizontal="center" vertical="center" wrapText="1"/>
      <protection hidden="1"/>
    </xf>
    <xf numFmtId="2" fontId="30" fillId="0" borderId="0" xfId="0" applyNumberFormat="1" applyFont="1" applyAlignment="1" applyProtection="1">
      <alignment horizontal="center" vertical="center" wrapText="1"/>
      <protection hidden="1"/>
    </xf>
    <xf numFmtId="165" fontId="30" fillId="0" borderId="0" xfId="0" applyNumberFormat="1" applyFont="1" applyAlignment="1" applyProtection="1">
      <alignment horizontal="center" vertical="center" wrapText="1"/>
      <protection hidden="1"/>
    </xf>
    <xf numFmtId="166" fontId="30" fillId="0" borderId="0" xfId="0" applyNumberFormat="1" applyFont="1" applyAlignment="1" applyProtection="1">
      <alignment horizontal="center" vertical="center" wrapText="1"/>
      <protection hidden="1"/>
    </xf>
    <xf numFmtId="171" fontId="30" fillId="0" borderId="0" xfId="0" applyNumberFormat="1" applyFont="1" applyAlignment="1" applyProtection="1">
      <alignment horizontal="center" vertical="center" wrapText="1"/>
      <protection hidden="1"/>
    </xf>
    <xf numFmtId="169" fontId="30" fillId="0" borderId="0" xfId="0" applyNumberFormat="1" applyFont="1" applyAlignment="1" applyProtection="1">
      <alignment horizontal="center" vertical="center" wrapText="1"/>
      <protection hidden="1"/>
    </xf>
    <xf numFmtId="0" fontId="41" fillId="0" borderId="0" xfId="6" applyFont="1" applyFill="1" applyAlignment="1" applyProtection="1">
      <alignment horizontal="center" vertical="center" wrapText="1"/>
      <protection locked="0" hidden="1"/>
    </xf>
    <xf numFmtId="0" fontId="12" fillId="0" borderId="0" xfId="0" applyFont="1" applyAlignment="1" applyProtection="1">
      <alignment vertical="center" wrapText="1"/>
      <protection hidden="1"/>
    </xf>
    <xf numFmtId="0" fontId="41" fillId="17" borderId="8" xfId="6" applyFont="1" applyBorder="1" applyAlignment="1" applyProtection="1">
      <alignment horizontal="center" vertical="center"/>
      <protection locked="0" hidden="1"/>
    </xf>
    <xf numFmtId="0" fontId="30" fillId="0" borderId="0" xfId="0" applyFont="1" applyAlignment="1" applyProtection="1">
      <alignment vertical="center" wrapText="1"/>
      <protection locked="0" hidden="1"/>
    </xf>
    <xf numFmtId="0" fontId="12" fillId="18" borderId="1" xfId="0" applyFont="1" applyFill="1" applyBorder="1" applyAlignment="1" applyProtection="1">
      <alignment horizontal="center" vertical="center" wrapText="1"/>
      <protection hidden="1"/>
    </xf>
    <xf numFmtId="167" fontId="30" fillId="5" borderId="9" xfId="0" applyNumberFormat="1" applyFont="1" applyFill="1" applyBorder="1" applyAlignment="1" applyProtection="1">
      <alignment horizontal="center" vertical="center" wrapText="1"/>
      <protection locked="0" hidden="1"/>
    </xf>
    <xf numFmtId="14" fontId="30" fillId="0" borderId="0" xfId="0" applyNumberFormat="1" applyFont="1" applyAlignment="1" applyProtection="1">
      <alignment vertical="center" wrapText="1"/>
      <protection hidden="1"/>
    </xf>
    <xf numFmtId="167" fontId="12" fillId="6" borderId="65" xfId="0" applyNumberFormat="1" applyFont="1" applyFill="1" applyBorder="1" applyAlignment="1" applyProtection="1">
      <alignment horizontal="center" vertical="center" wrapText="1"/>
      <protection hidden="1"/>
    </xf>
    <xf numFmtId="167" fontId="12" fillId="6" borderId="39" xfId="0" applyNumberFormat="1" applyFont="1" applyFill="1" applyBorder="1" applyAlignment="1" applyProtection="1">
      <alignment horizontal="center" vertical="center" wrapText="1"/>
      <protection hidden="1"/>
    </xf>
    <xf numFmtId="167" fontId="30" fillId="0" borderId="0" xfId="0" applyNumberFormat="1" applyFont="1" applyAlignment="1" applyProtection="1">
      <alignment horizontal="center" vertical="center" wrapText="1"/>
      <protection locked="0" hidden="1"/>
    </xf>
    <xf numFmtId="167" fontId="30" fillId="0" borderId="0" xfId="0" applyNumberFormat="1" applyFont="1" applyAlignment="1" applyProtection="1">
      <alignment horizontal="center" vertical="center" wrapText="1"/>
      <protection hidden="1"/>
    </xf>
    <xf numFmtId="167" fontId="12" fillId="0" borderId="0" xfId="0" applyNumberFormat="1" applyFont="1" applyAlignment="1" applyProtection="1">
      <alignment horizontal="center" vertical="center" wrapText="1"/>
      <protection hidden="1"/>
    </xf>
    <xf numFmtId="167" fontId="12" fillId="6" borderId="1" xfId="0" applyNumberFormat="1" applyFont="1" applyFill="1" applyBorder="1" applyAlignment="1" applyProtection="1">
      <alignment horizontal="center" vertical="center" wrapText="1"/>
      <protection hidden="1"/>
    </xf>
    <xf numFmtId="167" fontId="12" fillId="6" borderId="19" xfId="0" applyNumberFormat="1" applyFont="1" applyFill="1" applyBorder="1" applyAlignment="1" applyProtection="1">
      <alignment horizontal="center" vertical="center" wrapText="1"/>
      <protection hidden="1"/>
    </xf>
    <xf numFmtId="0" fontId="12" fillId="6" borderId="9" xfId="0" applyFont="1" applyFill="1" applyBorder="1" applyAlignment="1">
      <alignment horizontal="center" vertical="center" wrapText="1"/>
    </xf>
    <xf numFmtId="0" fontId="12" fillId="6" borderId="9" xfId="0" applyFont="1" applyFill="1" applyBorder="1" applyAlignment="1" applyProtection="1">
      <alignment horizontal="center" vertical="center" wrapText="1"/>
      <protection hidden="1"/>
    </xf>
    <xf numFmtId="167" fontId="50" fillId="6" borderId="9" xfId="0" applyNumberFormat="1" applyFont="1" applyFill="1" applyBorder="1" applyAlignment="1">
      <alignment horizontal="center" vertical="center" wrapText="1"/>
    </xf>
    <xf numFmtId="165" fontId="49" fillId="6" borderId="32" xfId="0" applyNumberFormat="1" applyFont="1" applyFill="1" applyBorder="1" applyAlignment="1">
      <alignment horizontal="center" vertical="center" wrapText="1"/>
    </xf>
    <xf numFmtId="166" fontId="50" fillId="6" borderId="9" xfId="0" applyNumberFormat="1" applyFont="1" applyFill="1" applyBorder="1" applyAlignment="1">
      <alignment horizontal="center" vertical="center" wrapText="1"/>
    </xf>
    <xf numFmtId="2" fontId="49" fillId="6" borderId="9" xfId="0" applyNumberFormat="1" applyFont="1" applyFill="1" applyBorder="1" applyAlignment="1">
      <alignment horizontal="center" vertical="center" wrapText="1"/>
    </xf>
    <xf numFmtId="167" fontId="49" fillId="6" borderId="9" xfId="0" applyNumberFormat="1" applyFont="1" applyFill="1" applyBorder="1" applyAlignment="1" applyProtection="1">
      <alignment horizontal="center" vertical="center" wrapText="1"/>
      <protection hidden="1"/>
    </xf>
    <xf numFmtId="0" fontId="49" fillId="6" borderId="32" xfId="0" applyFont="1" applyFill="1" applyBorder="1" applyAlignment="1" applyProtection="1">
      <alignment horizontal="center" vertical="center" wrapText="1"/>
      <protection hidden="1"/>
    </xf>
    <xf numFmtId="0" fontId="49" fillId="6" borderId="9" xfId="0" applyFont="1" applyFill="1" applyBorder="1" applyAlignment="1" applyProtection="1">
      <alignment horizontal="center" vertical="center" wrapText="1"/>
      <protection hidden="1"/>
    </xf>
    <xf numFmtId="0" fontId="41" fillId="0" borderId="0" xfId="6" applyFont="1" applyFill="1" applyAlignment="1" applyProtection="1">
      <alignment horizontal="center" vertical="center"/>
      <protection locked="0" hidden="1"/>
    </xf>
    <xf numFmtId="167" fontId="50" fillId="6" borderId="41" xfId="0" applyNumberFormat="1" applyFont="1" applyFill="1" applyBorder="1" applyAlignment="1" applyProtection="1">
      <alignment horizontal="center" vertical="center" wrapText="1"/>
      <protection hidden="1"/>
    </xf>
    <xf numFmtId="166" fontId="52" fillId="0" borderId="0" xfId="0" applyNumberFormat="1" applyFont="1" applyAlignment="1">
      <alignment horizontal="center"/>
    </xf>
    <xf numFmtId="166" fontId="30" fillId="0" borderId="0" xfId="0" applyNumberFormat="1" applyFont="1" applyAlignment="1" applyProtection="1">
      <alignment horizontal="center" vertical="center"/>
      <protection hidden="1"/>
    </xf>
    <xf numFmtId="0" fontId="30" fillId="0" borderId="0" xfId="0" applyFont="1" applyAlignment="1" applyProtection="1">
      <alignment horizontal="center" vertical="center"/>
      <protection locked="0" hidden="1"/>
    </xf>
    <xf numFmtId="0" fontId="30" fillId="0" borderId="0" xfId="0" applyFont="1" applyAlignment="1" applyProtection="1">
      <alignment horizontal="center" vertical="center" wrapText="1"/>
      <protection locked="0" hidden="1"/>
    </xf>
    <xf numFmtId="166" fontId="52" fillId="0" borderId="0" xfId="0" applyNumberFormat="1" applyFont="1" applyAlignment="1">
      <alignment horizontal="center" vertical="center" wrapText="1"/>
    </xf>
    <xf numFmtId="1" fontId="30" fillId="0" borderId="0" xfId="0" applyNumberFormat="1" applyFont="1" applyAlignment="1" applyProtection="1">
      <alignment horizontal="center" vertical="center" wrapText="1"/>
      <protection locked="0" hidden="1"/>
    </xf>
    <xf numFmtId="164" fontId="12" fillId="6" borderId="47" xfId="0" applyNumberFormat="1" applyFont="1" applyFill="1" applyBorder="1" applyAlignment="1" applyProtection="1">
      <alignment horizontal="center" vertical="center" wrapText="1"/>
      <protection hidden="1"/>
    </xf>
    <xf numFmtId="166" fontId="12" fillId="0" borderId="0" xfId="0" applyNumberFormat="1" applyFont="1" applyAlignment="1" applyProtection="1">
      <alignment horizontal="center" vertical="center" wrapText="1"/>
      <protection hidden="1"/>
    </xf>
    <xf numFmtId="0" fontId="30" fillId="2" borderId="0" xfId="0" applyFont="1" applyFill="1" applyAlignment="1" applyProtection="1">
      <alignment vertical="center" wrapText="1"/>
      <protection locked="0" hidden="1"/>
    </xf>
    <xf numFmtId="0" fontId="30" fillId="2" borderId="46" xfId="0" applyFont="1" applyFill="1" applyBorder="1" applyAlignment="1" applyProtection="1">
      <alignment vertical="center" wrapText="1"/>
      <protection locked="0" hidden="1"/>
    </xf>
    <xf numFmtId="11" fontId="30" fillId="0" borderId="0" xfId="0" applyNumberFormat="1" applyFont="1" applyAlignment="1" applyProtection="1">
      <alignment horizontal="center" vertical="center" wrapText="1"/>
      <protection hidden="1"/>
    </xf>
    <xf numFmtId="0" fontId="30" fillId="2" borderId="44" xfId="0" applyFont="1" applyFill="1" applyBorder="1" applyAlignment="1" applyProtection="1">
      <alignment vertical="center" wrapText="1"/>
      <protection locked="0" hidden="1"/>
    </xf>
    <xf numFmtId="0" fontId="30" fillId="2" borderId="5" xfId="0" applyFont="1" applyFill="1" applyBorder="1" applyAlignment="1" applyProtection="1">
      <alignment vertical="center" wrapText="1"/>
      <protection locked="0" hidden="1"/>
    </xf>
    <xf numFmtId="0" fontId="30" fillId="2" borderId="36" xfId="0" applyFont="1" applyFill="1" applyBorder="1" applyAlignment="1" applyProtection="1">
      <alignment vertical="center" wrapText="1"/>
      <protection locked="0" hidden="1"/>
    </xf>
    <xf numFmtId="0" fontId="12" fillId="22" borderId="68" xfId="0" applyFont="1" applyFill="1" applyBorder="1" applyAlignment="1">
      <alignment horizontal="left" vertical="top"/>
    </xf>
    <xf numFmtId="0" fontId="30" fillId="22" borderId="37" xfId="0" applyFont="1" applyFill="1" applyBorder="1"/>
    <xf numFmtId="0" fontId="30" fillId="22" borderId="38" xfId="0" applyFont="1" applyFill="1" applyBorder="1"/>
    <xf numFmtId="11" fontId="30" fillId="22" borderId="38" xfId="0" applyNumberFormat="1" applyFont="1" applyFill="1" applyBorder="1"/>
    <xf numFmtId="0" fontId="30" fillId="22" borderId="39" xfId="0" applyFont="1" applyFill="1" applyBorder="1"/>
    <xf numFmtId="9" fontId="12" fillId="22" borderId="39" xfId="0" applyNumberFormat="1" applyFont="1" applyFill="1" applyBorder="1" applyAlignment="1">
      <alignment horizontal="center" vertical="center"/>
    </xf>
    <xf numFmtId="0" fontId="12" fillId="22" borderId="63" xfId="0" applyFont="1" applyFill="1" applyBorder="1" applyAlignment="1">
      <alignment horizontal="left" vertical="center" wrapText="1"/>
    </xf>
    <xf numFmtId="167" fontId="12" fillId="22" borderId="30" xfId="0" applyNumberFormat="1" applyFont="1" applyFill="1" applyBorder="1" applyAlignment="1">
      <alignment horizontal="center" vertical="center" wrapText="1"/>
    </xf>
    <xf numFmtId="0" fontId="30" fillId="22" borderId="9" xfId="0" applyFont="1" applyFill="1" applyBorder="1" applyAlignment="1">
      <alignment horizontal="center" vertical="center" wrapText="1"/>
    </xf>
    <xf numFmtId="179" fontId="30" fillId="22" borderId="9" xfId="0" applyNumberFormat="1" applyFont="1" applyFill="1" applyBorder="1" applyAlignment="1">
      <alignment horizontal="center" vertical="center" wrapText="1"/>
    </xf>
    <xf numFmtId="178" fontId="30" fillId="22" borderId="9" xfId="0" applyNumberFormat="1" applyFont="1" applyFill="1" applyBorder="1" applyAlignment="1">
      <alignment horizontal="center" vertical="center" wrapText="1"/>
    </xf>
    <xf numFmtId="0" fontId="30" fillId="22" borderId="32" xfId="0" applyFont="1" applyFill="1" applyBorder="1" applyAlignment="1">
      <alignment horizontal="center" vertical="center" wrapText="1"/>
    </xf>
    <xf numFmtId="11" fontId="30" fillId="22" borderId="9" xfId="0" applyNumberFormat="1" applyFont="1" applyFill="1" applyBorder="1" applyAlignment="1">
      <alignment horizontal="center" vertical="center" wrapText="1"/>
    </xf>
    <xf numFmtId="0" fontId="12" fillId="22" borderId="2" xfId="0" applyFont="1" applyFill="1" applyBorder="1" applyAlignment="1">
      <alignment horizontal="left" vertical="center" wrapText="1"/>
    </xf>
    <xf numFmtId="0" fontId="30" fillId="0" borderId="0" xfId="0" applyFont="1"/>
    <xf numFmtId="0" fontId="30" fillId="0" borderId="46" xfId="0" applyFont="1" applyBorder="1"/>
    <xf numFmtId="11" fontId="30" fillId="0" borderId="0" xfId="0" applyNumberFormat="1" applyFont="1"/>
    <xf numFmtId="0" fontId="14" fillId="0" borderId="3" xfId="0" applyFont="1" applyBorder="1" applyAlignment="1">
      <alignment horizontal="left" vertical="top"/>
    </xf>
    <xf numFmtId="170" fontId="55" fillId="0" borderId="0" xfId="0" applyNumberFormat="1" applyFont="1"/>
    <xf numFmtId="0" fontId="40" fillId="0" borderId="0" xfId="0" applyFont="1"/>
    <xf numFmtId="0" fontId="40" fillId="0" borderId="46" xfId="0" applyFont="1" applyBorder="1"/>
    <xf numFmtId="168" fontId="32" fillId="0" borderId="0" xfId="0" applyNumberFormat="1" applyFont="1" applyAlignment="1" applyProtection="1">
      <alignment vertical="center" wrapText="1"/>
      <protection hidden="1"/>
    </xf>
    <xf numFmtId="168" fontId="32" fillId="0" borderId="0" xfId="0" applyNumberFormat="1" applyFont="1" applyAlignment="1" applyProtection="1">
      <alignment horizontal="center" vertical="center"/>
      <protection hidden="1"/>
    </xf>
    <xf numFmtId="168" fontId="30" fillId="0" borderId="0" xfId="0" applyNumberFormat="1" applyFont="1" applyAlignment="1" applyProtection="1">
      <alignment horizontal="center" vertical="center"/>
      <protection hidden="1"/>
    </xf>
    <xf numFmtId="0" fontId="12" fillId="22" borderId="2" xfId="0" applyFont="1" applyFill="1" applyBorder="1" applyAlignment="1">
      <alignment horizontal="center" vertical="center" wrapText="1"/>
    </xf>
    <xf numFmtId="0" fontId="30" fillId="22" borderId="37" xfId="0" applyFont="1" applyFill="1" applyBorder="1" applyAlignment="1">
      <alignment horizontal="center"/>
    </xf>
    <xf numFmtId="0" fontId="30" fillId="22" borderId="38" xfId="0" applyFont="1" applyFill="1" applyBorder="1" applyAlignment="1">
      <alignment horizontal="center"/>
    </xf>
    <xf numFmtId="0" fontId="30" fillId="22" borderId="64" xfId="0" applyFont="1" applyFill="1" applyBorder="1" applyAlignment="1">
      <alignment horizontal="center"/>
    </xf>
    <xf numFmtId="11" fontId="30" fillId="22" borderId="38" xfId="0" applyNumberFormat="1" applyFont="1" applyFill="1" applyBorder="1" applyAlignment="1">
      <alignment horizontal="center"/>
    </xf>
    <xf numFmtId="0" fontId="12" fillId="22" borderId="39" xfId="0" applyFont="1" applyFill="1" applyBorder="1" applyAlignment="1">
      <alignment horizontal="center"/>
    </xf>
    <xf numFmtId="0" fontId="12" fillId="22" borderId="33" xfId="0" applyFont="1" applyFill="1" applyBorder="1" applyAlignment="1">
      <alignment horizontal="center" vertical="center" wrapText="1"/>
    </xf>
    <xf numFmtId="166" fontId="44" fillId="22" borderId="30" xfId="0" applyNumberFormat="1" applyFont="1" applyFill="1" applyBorder="1" applyAlignment="1">
      <alignment horizontal="center" vertical="center" wrapText="1"/>
    </xf>
    <xf numFmtId="0" fontId="43" fillId="22" borderId="9" xfId="0" applyFont="1" applyFill="1" applyBorder="1" applyAlignment="1">
      <alignment horizontal="center" vertical="center" wrapText="1"/>
    </xf>
    <xf numFmtId="0" fontId="43" fillId="22" borderId="17" xfId="0" applyFont="1" applyFill="1" applyBorder="1" applyAlignment="1">
      <alignment horizontal="center" vertical="center" wrapText="1"/>
    </xf>
    <xf numFmtId="11" fontId="43" fillId="22" borderId="9" xfId="0" applyNumberFormat="1" applyFont="1" applyFill="1" applyBorder="1" applyAlignment="1">
      <alignment horizontal="center" vertical="center" wrapText="1"/>
    </xf>
    <xf numFmtId="0" fontId="44" fillId="22" borderId="32" xfId="0" applyFont="1" applyFill="1" applyBorder="1" applyAlignment="1">
      <alignment horizontal="center" vertical="center" wrapText="1"/>
    </xf>
    <xf numFmtId="2" fontId="44" fillId="22" borderId="30" xfId="0" applyNumberFormat="1" applyFont="1" applyFill="1" applyBorder="1" applyAlignment="1">
      <alignment horizontal="center" vertical="center" wrapText="1"/>
    </xf>
    <xf numFmtId="0" fontId="44" fillId="0" borderId="0" xfId="0" applyFont="1" applyAlignment="1">
      <alignment horizontal="center" vertical="center" wrapText="1"/>
    </xf>
    <xf numFmtId="9" fontId="44" fillId="0" borderId="0" xfId="0" applyNumberFormat="1" applyFont="1" applyAlignment="1">
      <alignment horizontal="center" vertical="center" wrapText="1"/>
    </xf>
    <xf numFmtId="0" fontId="14" fillId="2" borderId="0" xfId="0" applyFont="1" applyFill="1" applyAlignment="1">
      <alignment horizontal="left" vertical="top"/>
    </xf>
    <xf numFmtId="171" fontId="44" fillId="2" borderId="0" xfId="0" applyNumberFormat="1" applyFont="1" applyFill="1" applyAlignment="1">
      <alignment horizontal="center" vertical="center" wrapText="1"/>
    </xf>
    <xf numFmtId="0" fontId="43" fillId="0" borderId="0" xfId="0" applyFont="1" applyAlignment="1">
      <alignment horizontal="center" vertical="center" wrapText="1"/>
    </xf>
    <xf numFmtId="171" fontId="55" fillId="2" borderId="0" xfId="0" applyNumberFormat="1" applyFont="1" applyFill="1" applyAlignment="1">
      <alignment horizontal="center"/>
    </xf>
    <xf numFmtId="0" fontId="14" fillId="0" borderId="3" xfId="0" applyFont="1" applyBorder="1" applyAlignment="1">
      <alignment horizontal="center"/>
    </xf>
    <xf numFmtId="1" fontId="14" fillId="0" borderId="3" xfId="0" applyNumberFormat="1" applyFont="1" applyBorder="1" applyAlignment="1">
      <alignment horizontal="center"/>
    </xf>
    <xf numFmtId="167" fontId="14" fillId="0" borderId="3" xfId="0" applyNumberFormat="1" applyFont="1" applyBorder="1" applyAlignment="1">
      <alignment horizontal="center"/>
    </xf>
    <xf numFmtId="9" fontId="55" fillId="0" borderId="0" xfId="0" applyNumberFormat="1" applyFont="1" applyAlignment="1">
      <alignment horizontal="center"/>
    </xf>
    <xf numFmtId="0" fontId="30" fillId="22" borderId="38" xfId="0" applyFont="1" applyFill="1" applyBorder="1" applyAlignment="1">
      <alignment horizontal="center" vertical="center" wrapText="1"/>
    </xf>
    <xf numFmtId="0" fontId="30" fillId="22" borderId="29" xfId="0" applyFont="1" applyFill="1" applyBorder="1" applyAlignment="1">
      <alignment horizontal="center" vertical="center" wrapText="1"/>
    </xf>
    <xf numFmtId="0" fontId="30" fillId="22" borderId="65" xfId="0" applyFont="1" applyFill="1" applyBorder="1" applyAlignment="1">
      <alignment horizontal="center" vertical="center" wrapText="1"/>
    </xf>
    <xf numFmtId="0" fontId="12" fillId="22" borderId="9" xfId="0" applyFont="1" applyFill="1" applyBorder="1" applyAlignment="1">
      <alignment horizontal="center" vertical="center" wrapText="1"/>
    </xf>
    <xf numFmtId="166" fontId="30" fillId="22" borderId="9" xfId="0" applyNumberFormat="1" applyFont="1" applyFill="1" applyBorder="1" applyAlignment="1">
      <alignment horizontal="center" vertical="center" wrapText="1"/>
    </xf>
    <xf numFmtId="0" fontId="30" fillId="22" borderId="11" xfId="0" applyFont="1" applyFill="1" applyBorder="1" applyAlignment="1">
      <alignment horizontal="center" vertical="center" wrapText="1"/>
    </xf>
    <xf numFmtId="0" fontId="30" fillId="22" borderId="63" xfId="0" applyFont="1" applyFill="1" applyBorder="1" applyAlignment="1">
      <alignment horizontal="center" vertical="center" wrapText="1"/>
    </xf>
    <xf numFmtId="2" fontId="30" fillId="23" borderId="9" xfId="0" applyNumberFormat="1" applyFont="1" applyFill="1" applyBorder="1" applyAlignment="1">
      <alignment horizontal="center" vertical="center" wrapText="1"/>
    </xf>
    <xf numFmtId="2" fontId="30" fillId="22" borderId="9" xfId="0" applyNumberFormat="1" applyFont="1" applyFill="1" applyBorder="1" applyAlignment="1">
      <alignment horizontal="center" vertical="center" wrapText="1"/>
    </xf>
    <xf numFmtId="165" fontId="30" fillId="22" borderId="9" xfId="0" applyNumberFormat="1" applyFont="1" applyFill="1" applyBorder="1" applyAlignment="1">
      <alignment horizontal="center" vertical="center" wrapText="1"/>
    </xf>
    <xf numFmtId="9" fontId="12" fillId="22" borderId="66" xfId="11" applyFont="1" applyFill="1" applyBorder="1" applyAlignment="1">
      <alignment horizontal="center" vertical="center" wrapText="1"/>
    </xf>
    <xf numFmtId="0" fontId="12" fillId="0" borderId="34" xfId="0" applyFont="1" applyBorder="1" applyAlignment="1">
      <alignment horizontal="center"/>
    </xf>
    <xf numFmtId="0" fontId="30" fillId="0" borderId="10" xfId="0" applyFont="1" applyBorder="1"/>
    <xf numFmtId="0" fontId="12" fillId="0" borderId="32" xfId="0" applyFont="1" applyBorder="1"/>
    <xf numFmtId="0" fontId="12" fillId="0" borderId="35" xfId="0" applyFont="1" applyBorder="1"/>
    <xf numFmtId="2" fontId="30" fillId="0" borderId="0" xfId="0" applyNumberFormat="1" applyFont="1"/>
    <xf numFmtId="0" fontId="30" fillId="0" borderId="0" xfId="0" applyFont="1" applyAlignment="1">
      <alignment horizontal="center"/>
    </xf>
    <xf numFmtId="164" fontId="30" fillId="0" borderId="0" xfId="0" applyNumberFormat="1" applyFont="1" applyProtection="1">
      <protection hidden="1"/>
    </xf>
    <xf numFmtId="0" fontId="30" fillId="4" borderId="1"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2" fillId="4" borderId="20" xfId="0" applyFont="1" applyFill="1" applyBorder="1" applyAlignment="1" applyProtection="1">
      <alignment horizontal="center" vertical="center" wrapText="1"/>
      <protection hidden="1"/>
    </xf>
    <xf numFmtId="0" fontId="12" fillId="4" borderId="21" xfId="0" applyFont="1" applyFill="1" applyBorder="1" applyAlignment="1" applyProtection="1">
      <alignment horizontal="center" vertical="center" wrapText="1"/>
      <protection hidden="1"/>
    </xf>
    <xf numFmtId="2" fontId="12" fillId="6" borderId="62" xfId="0" applyNumberFormat="1" applyFont="1" applyFill="1" applyBorder="1" applyAlignment="1" applyProtection="1">
      <alignment horizontal="center" vertical="center"/>
      <protection hidden="1"/>
    </xf>
    <xf numFmtId="0" fontId="12" fillId="4" borderId="37" xfId="0" applyFont="1" applyFill="1" applyBorder="1" applyAlignment="1" applyProtection="1">
      <alignment horizontal="center" vertical="center" wrapText="1"/>
      <protection hidden="1"/>
    </xf>
    <xf numFmtId="2" fontId="32" fillId="6" borderId="1" xfId="0" applyNumberFormat="1" applyFont="1" applyFill="1" applyBorder="1" applyAlignment="1" applyProtection="1">
      <alignment horizontal="center" vertical="center" wrapText="1"/>
      <protection hidden="1"/>
    </xf>
    <xf numFmtId="0" fontId="32" fillId="6" borderId="1" xfId="0" applyFont="1" applyFill="1" applyBorder="1" applyAlignment="1" applyProtection="1">
      <alignment horizontal="center" vertical="center" wrapText="1"/>
      <protection hidden="1"/>
    </xf>
    <xf numFmtId="0" fontId="32" fillId="6" borderId="37" xfId="0" applyFont="1" applyFill="1" applyBorder="1" applyAlignment="1" applyProtection="1">
      <alignment horizontal="center" vertical="center" wrapText="1"/>
      <protection hidden="1"/>
    </xf>
    <xf numFmtId="0" fontId="32" fillId="6" borderId="38" xfId="0" applyFont="1" applyFill="1" applyBorder="1" applyAlignment="1" applyProtection="1">
      <alignment horizontal="center" vertical="center" wrapText="1"/>
      <protection hidden="1"/>
    </xf>
    <xf numFmtId="0" fontId="32" fillId="6" borderId="39" xfId="0" applyFont="1" applyFill="1" applyBorder="1" applyAlignment="1" applyProtection="1">
      <alignment horizontal="center" vertical="center" wrapText="1"/>
      <protection hidden="1"/>
    </xf>
    <xf numFmtId="0" fontId="12" fillId="4" borderId="30" xfId="0" applyFont="1" applyFill="1" applyBorder="1" applyAlignment="1" applyProtection="1">
      <alignment horizontal="center" vertical="center" wrapText="1"/>
      <protection hidden="1"/>
    </xf>
    <xf numFmtId="2" fontId="30" fillId="6" borderId="9" xfId="0" applyNumberFormat="1" applyFont="1" applyFill="1" applyBorder="1" applyAlignment="1" applyProtection="1">
      <alignment horizontal="center" vertical="center" wrapText="1"/>
      <protection hidden="1"/>
    </xf>
    <xf numFmtId="0" fontId="12" fillId="6" borderId="1" xfId="0" applyFont="1" applyFill="1" applyBorder="1" applyAlignment="1" applyProtection="1">
      <alignment horizontal="center" vertical="center" wrapText="1"/>
      <protection hidden="1"/>
    </xf>
    <xf numFmtId="0" fontId="32" fillId="6" borderId="40" xfId="0" applyFont="1" applyFill="1" applyBorder="1" applyAlignment="1" applyProtection="1">
      <alignment horizontal="center" vertical="center" wrapText="1"/>
      <protection hidden="1"/>
    </xf>
    <xf numFmtId="0" fontId="32" fillId="6" borderId="41" xfId="0" applyFont="1" applyFill="1" applyBorder="1" applyAlignment="1" applyProtection="1">
      <alignment horizontal="center" vertical="center" wrapText="1"/>
      <protection hidden="1"/>
    </xf>
    <xf numFmtId="0" fontId="32" fillId="6" borderId="35" xfId="0" applyFont="1" applyFill="1" applyBorder="1" applyAlignment="1" applyProtection="1">
      <alignment horizontal="center" vertical="center" wrapText="1"/>
      <protection hidden="1"/>
    </xf>
    <xf numFmtId="165" fontId="30" fillId="6" borderId="9" xfId="0" applyNumberFormat="1" applyFont="1" applyFill="1" applyBorder="1" applyAlignment="1" applyProtection="1">
      <alignment horizontal="center" vertical="center" wrapText="1"/>
      <protection hidden="1"/>
    </xf>
    <xf numFmtId="164" fontId="30" fillId="6" borderId="9" xfId="0" applyNumberFormat="1" applyFont="1" applyFill="1" applyBorder="1" applyAlignment="1" applyProtection="1">
      <alignment horizontal="center" vertical="center" wrapText="1"/>
      <protection hidden="1"/>
    </xf>
    <xf numFmtId="0" fontId="12" fillId="4" borderId="40" xfId="0" applyFont="1" applyFill="1" applyBorder="1" applyAlignment="1" applyProtection="1">
      <alignment horizontal="center" vertical="center" wrapText="1"/>
      <protection hidden="1"/>
    </xf>
    <xf numFmtId="2" fontId="30" fillId="6" borderId="41" xfId="11" applyNumberFormat="1" applyFont="1" applyFill="1" applyBorder="1" applyAlignment="1" applyProtection="1">
      <alignment horizontal="center" vertical="center" wrapText="1"/>
      <protection hidden="1"/>
    </xf>
    <xf numFmtId="166" fontId="30" fillId="6" borderId="41" xfId="0" applyNumberFormat="1" applyFont="1" applyFill="1" applyBorder="1" applyAlignment="1" applyProtection="1">
      <alignment horizontal="center" vertical="center" wrapText="1"/>
      <protection hidden="1"/>
    </xf>
    <xf numFmtId="165" fontId="30" fillId="6" borderId="41" xfId="0" applyNumberFormat="1" applyFont="1" applyFill="1" applyBorder="1" applyAlignment="1" applyProtection="1">
      <alignment horizontal="center" vertical="center" wrapText="1"/>
      <protection hidden="1"/>
    </xf>
    <xf numFmtId="0" fontId="20" fillId="0" borderId="0" xfId="0" applyFont="1" applyAlignment="1">
      <alignment horizontal="center" vertical="center"/>
    </xf>
    <xf numFmtId="2" fontId="20" fillId="0" borderId="0" xfId="0" applyNumberFormat="1" applyFont="1" applyAlignment="1">
      <alignment horizontal="center" vertical="center"/>
    </xf>
    <xf numFmtId="0" fontId="40" fillId="0" borderId="0" xfId="0" applyFont="1" applyAlignment="1">
      <alignment horizontal="center" vertical="center" wrapText="1"/>
    </xf>
    <xf numFmtId="169" fontId="20" fillId="0" borderId="0" xfId="0" applyNumberFormat="1" applyFont="1" applyAlignment="1">
      <alignment horizontal="center" vertical="center" wrapText="1"/>
    </xf>
    <xf numFmtId="167" fontId="12" fillId="22" borderId="45" xfId="0" applyNumberFormat="1" applyFont="1" applyFill="1" applyBorder="1" applyAlignment="1">
      <alignment horizontal="center" vertical="center" wrapText="1"/>
    </xf>
    <xf numFmtId="0" fontId="12" fillId="6" borderId="44" xfId="0" applyFont="1" applyFill="1" applyBorder="1" applyAlignment="1" applyProtection="1">
      <alignment horizontal="center" vertical="center" wrapText="1"/>
      <protection hidden="1"/>
    </xf>
    <xf numFmtId="167" fontId="12" fillId="6" borderId="29" xfId="0" applyNumberFormat="1" applyFont="1" applyFill="1" applyBorder="1" applyAlignment="1" applyProtection="1">
      <alignment horizontal="center" vertical="center" wrapText="1"/>
      <protection hidden="1"/>
    </xf>
    <xf numFmtId="167" fontId="12" fillId="6" borderId="26" xfId="0" applyNumberFormat="1" applyFont="1" applyFill="1" applyBorder="1" applyAlignment="1" applyProtection="1">
      <alignment horizontal="center" vertical="center" wrapText="1"/>
      <protection hidden="1"/>
    </xf>
    <xf numFmtId="167" fontId="12" fillId="6" borderId="2" xfId="0" applyNumberFormat="1" applyFont="1" applyFill="1" applyBorder="1" applyAlignment="1" applyProtection="1">
      <alignment horizontal="center" vertical="center" wrapText="1"/>
      <protection hidden="1"/>
    </xf>
    <xf numFmtId="167" fontId="12" fillId="6" borderId="4" xfId="0" applyNumberFormat="1" applyFont="1" applyFill="1" applyBorder="1" applyAlignment="1" applyProtection="1">
      <alignment horizontal="center" vertical="center" wrapText="1"/>
      <protection hidden="1"/>
    </xf>
    <xf numFmtId="167" fontId="12" fillId="6" borderId="10" xfId="0" applyNumberFormat="1" applyFont="1" applyFill="1" applyBorder="1" applyAlignment="1" applyProtection="1">
      <alignment horizontal="center" vertical="center" wrapText="1"/>
      <protection hidden="1"/>
    </xf>
    <xf numFmtId="167" fontId="12" fillId="6" borderId="46" xfId="0" applyNumberFormat="1" applyFont="1" applyFill="1" applyBorder="1" applyAlignment="1" applyProtection="1">
      <alignment horizontal="center" vertical="center" wrapText="1"/>
      <protection hidden="1"/>
    </xf>
    <xf numFmtId="167" fontId="12" fillId="6" borderId="44" xfId="0" applyNumberFormat="1" applyFont="1" applyFill="1" applyBorder="1" applyAlignment="1" applyProtection="1">
      <alignment horizontal="center" vertical="center" wrapText="1"/>
      <protection hidden="1"/>
    </xf>
    <xf numFmtId="167" fontId="12" fillId="6" borderId="36" xfId="0" applyNumberFormat="1" applyFont="1" applyFill="1" applyBorder="1" applyAlignment="1" applyProtection="1">
      <alignment horizontal="center" vertical="center" wrapText="1"/>
      <protection hidden="1"/>
    </xf>
    <xf numFmtId="167" fontId="30" fillId="5" borderId="0" xfId="0" applyNumberFormat="1" applyFont="1" applyFill="1" applyAlignment="1" applyProtection="1">
      <alignment horizontal="center" vertical="center" wrapText="1"/>
      <protection locked="0" hidden="1"/>
    </xf>
    <xf numFmtId="167" fontId="30" fillId="5" borderId="10" xfId="0" applyNumberFormat="1" applyFont="1" applyFill="1" applyBorder="1" applyAlignment="1" applyProtection="1">
      <alignment horizontal="center" vertical="center" wrapText="1"/>
      <protection locked="0" hidden="1"/>
    </xf>
    <xf numFmtId="167" fontId="30" fillId="5" borderId="46" xfId="0" applyNumberFormat="1" applyFont="1" applyFill="1" applyBorder="1" applyAlignment="1" applyProtection="1">
      <alignment horizontal="center" vertical="center" wrapText="1"/>
      <protection locked="0" hidden="1"/>
    </xf>
    <xf numFmtId="0" fontId="12" fillId="6" borderId="11" xfId="0" applyFont="1" applyFill="1" applyBorder="1" applyAlignment="1">
      <alignment horizontal="center" vertical="center" wrapText="1"/>
    </xf>
    <xf numFmtId="0" fontId="12" fillId="6" borderId="11" xfId="0" applyFont="1" applyFill="1" applyBorder="1" applyAlignment="1" applyProtection="1">
      <alignment horizontal="center" vertical="center" wrapText="1"/>
      <protection hidden="1"/>
    </xf>
    <xf numFmtId="0" fontId="12" fillId="6"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36" xfId="0" applyFont="1" applyFill="1" applyBorder="1" applyAlignment="1" applyProtection="1">
      <alignment horizontal="center" vertical="center" wrapText="1"/>
      <protection hidden="1"/>
    </xf>
    <xf numFmtId="167" fontId="30" fillId="5" borderId="9" xfId="0" applyNumberFormat="1" applyFont="1" applyFill="1" applyBorder="1" applyAlignment="1" applyProtection="1">
      <alignment horizontal="center" vertical="center" wrapText="1"/>
      <protection hidden="1"/>
    </xf>
    <xf numFmtId="165" fontId="30" fillId="19" borderId="17" xfId="9" applyNumberFormat="1" applyFont="1" applyBorder="1" applyAlignment="1">
      <alignment horizontal="center" vertical="center" wrapText="1"/>
      <protection locked="0"/>
    </xf>
    <xf numFmtId="0" fontId="41" fillId="17" borderId="21" xfId="6" applyFont="1" applyBorder="1" applyAlignment="1" applyProtection="1">
      <alignment horizontal="center" vertical="center" wrapText="1"/>
      <protection locked="0" hidden="1"/>
    </xf>
    <xf numFmtId="0" fontId="41" fillId="17" borderId="19" xfId="6" applyFont="1" applyBorder="1" applyAlignment="1" applyProtection="1">
      <alignment horizontal="center" vertical="center" wrapText="1"/>
      <protection locked="0" hidden="1"/>
    </xf>
    <xf numFmtId="167" fontId="30" fillId="5" borderId="14" xfId="0" applyNumberFormat="1" applyFont="1" applyFill="1" applyBorder="1" applyAlignment="1" applyProtection="1">
      <alignment horizontal="center" vertical="center" wrapText="1"/>
      <protection hidden="1"/>
    </xf>
    <xf numFmtId="167" fontId="30" fillId="19" borderId="17" xfId="9" applyNumberFormat="1" applyFont="1" applyBorder="1" applyAlignment="1">
      <alignment horizontal="center" vertical="center" wrapText="1"/>
      <protection locked="0"/>
    </xf>
    <xf numFmtId="167" fontId="30" fillId="19" borderId="16" xfId="9" applyNumberFormat="1" applyFont="1" applyBorder="1" applyAlignment="1">
      <alignment horizontal="center" vertical="center" wrapText="1"/>
      <protection locked="0"/>
    </xf>
    <xf numFmtId="166" fontId="30" fillId="19" borderId="34" xfId="9" applyNumberFormat="1" applyFont="1" applyBorder="1" applyAlignment="1">
      <alignment horizontal="center" vertical="center" wrapText="1"/>
      <protection locked="0"/>
    </xf>
    <xf numFmtId="0" fontId="12" fillId="4" borderId="6" xfId="0" applyFont="1" applyFill="1" applyBorder="1" applyAlignment="1" applyProtection="1">
      <alignment horizontal="center" vertical="center" wrapText="1"/>
      <protection hidden="1"/>
    </xf>
    <xf numFmtId="0" fontId="12" fillId="4" borderId="8" xfId="0" applyFont="1" applyFill="1" applyBorder="1" applyAlignment="1" applyProtection="1">
      <alignment horizontal="center" vertical="center" wrapText="1"/>
      <protection hidden="1"/>
    </xf>
    <xf numFmtId="167" fontId="30" fillId="5" borderId="24" xfId="0" applyNumberFormat="1" applyFont="1" applyFill="1" applyBorder="1" applyAlignment="1" applyProtection="1">
      <alignment horizontal="center" vertical="center" wrapText="1"/>
      <protection hidden="1"/>
    </xf>
    <xf numFmtId="167" fontId="30" fillId="5" borderId="12" xfId="0" applyNumberFormat="1" applyFont="1" applyFill="1" applyBorder="1" applyAlignment="1" applyProtection="1">
      <alignment horizontal="center" vertical="center" wrapText="1"/>
      <protection hidden="1"/>
    </xf>
    <xf numFmtId="167" fontId="30" fillId="11" borderId="21" xfId="0" applyNumberFormat="1" applyFont="1" applyFill="1" applyBorder="1" applyAlignment="1" applyProtection="1">
      <alignment horizontal="center" vertical="top" wrapText="1"/>
      <protection hidden="1"/>
    </xf>
    <xf numFmtId="167" fontId="30" fillId="11" borderId="19" xfId="0" applyNumberFormat="1" applyFont="1" applyFill="1" applyBorder="1" applyAlignment="1" applyProtection="1">
      <alignment horizontal="center" vertical="top" wrapText="1"/>
      <protection hidden="1"/>
    </xf>
    <xf numFmtId="167" fontId="30" fillId="23" borderId="9" xfId="0" applyNumberFormat="1" applyFont="1" applyFill="1" applyBorder="1" applyAlignment="1">
      <alignment horizontal="center" vertical="center" wrapText="1"/>
    </xf>
    <xf numFmtId="167" fontId="30" fillId="5" borderId="12" xfId="0" applyNumberFormat="1" applyFont="1" applyFill="1" applyBorder="1" applyAlignment="1" applyProtection="1">
      <alignment horizontal="center" vertical="center" wrapText="1"/>
      <protection locked="0" hidden="1"/>
    </xf>
    <xf numFmtId="167" fontId="30" fillId="5" borderId="23" xfId="0" applyNumberFormat="1" applyFont="1" applyFill="1" applyBorder="1" applyAlignment="1" applyProtection="1">
      <alignment horizontal="center" vertical="center" wrapText="1"/>
      <protection locked="0" hidden="1"/>
    </xf>
    <xf numFmtId="167" fontId="50" fillId="6" borderId="38" xfId="0" applyNumberFormat="1" applyFont="1" applyFill="1" applyBorder="1" applyAlignment="1">
      <alignment horizontal="center" vertical="center" wrapText="1"/>
    </xf>
    <xf numFmtId="165" fontId="49" fillId="6" borderId="39" xfId="0" applyNumberFormat="1" applyFont="1" applyFill="1" applyBorder="1" applyAlignment="1">
      <alignment horizontal="center" vertical="center" wrapText="1"/>
    </xf>
    <xf numFmtId="2" fontId="49" fillId="6" borderId="30" xfId="0" applyNumberFormat="1" applyFont="1" applyFill="1" applyBorder="1" applyAlignment="1">
      <alignment horizontal="center" vertical="center" wrapText="1"/>
    </xf>
    <xf numFmtId="0" fontId="49" fillId="6" borderId="30" xfId="0" applyFont="1" applyFill="1" applyBorder="1" applyAlignment="1" applyProtection="1">
      <alignment horizontal="center" vertical="center" wrapText="1"/>
      <protection hidden="1"/>
    </xf>
    <xf numFmtId="0" fontId="50" fillId="6" borderId="32" xfId="0" applyFont="1" applyFill="1" applyBorder="1" applyAlignment="1" applyProtection="1">
      <alignment horizontal="center" vertical="center" wrapText="1"/>
      <protection hidden="1"/>
    </xf>
    <xf numFmtId="167" fontId="50" fillId="6" borderId="40" xfId="0" applyNumberFormat="1" applyFont="1" applyFill="1" applyBorder="1" applyAlignment="1" applyProtection="1">
      <alignment horizontal="center" vertical="center" wrapText="1"/>
      <protection hidden="1"/>
    </xf>
    <xf numFmtId="2" fontId="50" fillId="6" borderId="35" xfId="0" applyNumberFormat="1" applyFont="1" applyFill="1" applyBorder="1" applyAlignment="1" applyProtection="1">
      <alignment horizontal="center" vertical="center" wrapText="1"/>
      <protection hidden="1"/>
    </xf>
    <xf numFmtId="0" fontId="30" fillId="6" borderId="38" xfId="0" applyFont="1" applyFill="1" applyBorder="1" applyAlignment="1" applyProtection="1">
      <alignment horizontal="center" vertical="center" wrapText="1"/>
      <protection hidden="1"/>
    </xf>
    <xf numFmtId="0" fontId="30" fillId="6" borderId="38" xfId="0" applyFont="1" applyFill="1" applyBorder="1" applyAlignment="1" applyProtection="1">
      <alignment horizontal="center" vertical="center"/>
      <protection hidden="1"/>
    </xf>
    <xf numFmtId="167" fontId="30" fillId="6" borderId="38" xfId="0" applyNumberFormat="1" applyFont="1" applyFill="1" applyBorder="1" applyAlignment="1" applyProtection="1">
      <alignment horizontal="center" vertical="center"/>
      <protection hidden="1"/>
    </xf>
    <xf numFmtId="0" fontId="30" fillId="6" borderId="9" xfId="0" applyFont="1" applyFill="1" applyBorder="1" applyAlignment="1" applyProtection="1">
      <alignment horizontal="center" vertical="center" wrapText="1"/>
      <protection hidden="1"/>
    </xf>
    <xf numFmtId="0" fontId="30" fillId="6" borderId="9" xfId="0" applyFont="1" applyFill="1" applyBorder="1" applyAlignment="1" applyProtection="1">
      <alignment horizontal="center" vertical="center"/>
      <protection hidden="1"/>
    </xf>
    <xf numFmtId="167" fontId="30" fillId="6" borderId="9" xfId="0" applyNumberFormat="1" applyFont="1" applyFill="1" applyBorder="1" applyAlignment="1" applyProtection="1">
      <alignment horizontal="center" vertical="center"/>
      <protection hidden="1"/>
    </xf>
    <xf numFmtId="0" fontId="30" fillId="6" borderId="41" xfId="0" applyFont="1" applyFill="1" applyBorder="1" applyAlignment="1" applyProtection="1">
      <alignment horizontal="center" vertical="center" wrapText="1"/>
      <protection hidden="1"/>
    </xf>
    <xf numFmtId="0" fontId="30" fillId="6" borderId="41" xfId="0" applyFont="1" applyFill="1" applyBorder="1" applyAlignment="1" applyProtection="1">
      <alignment horizontal="center" vertical="center"/>
      <protection hidden="1"/>
    </xf>
    <xf numFmtId="167" fontId="30" fillId="6" borderId="41" xfId="0" applyNumberFormat="1" applyFont="1" applyFill="1" applyBorder="1" applyAlignment="1" applyProtection="1">
      <alignment horizontal="center" vertical="center"/>
      <protection hidden="1"/>
    </xf>
    <xf numFmtId="0" fontId="30" fillId="6" borderId="65" xfId="0" applyFont="1" applyFill="1" applyBorder="1" applyAlignment="1" applyProtection="1">
      <alignment horizontal="center" vertical="center" wrapText="1"/>
      <protection hidden="1"/>
    </xf>
    <xf numFmtId="1" fontId="30" fillId="6" borderId="37" xfId="0" applyNumberFormat="1" applyFont="1" applyFill="1" applyBorder="1" applyAlignment="1" applyProtection="1">
      <alignment horizontal="center" vertical="center" wrapText="1"/>
      <protection hidden="1"/>
    </xf>
    <xf numFmtId="0" fontId="30" fillId="6" borderId="63" xfId="0" applyFont="1" applyFill="1" applyBorder="1" applyAlignment="1" applyProtection="1">
      <alignment horizontal="center" vertical="center" wrapText="1"/>
      <protection hidden="1"/>
    </xf>
    <xf numFmtId="1" fontId="30" fillId="6" borderId="30" xfId="0" applyNumberFormat="1" applyFont="1" applyFill="1" applyBorder="1" applyAlignment="1" applyProtection="1">
      <alignment horizontal="center" vertical="center" wrapText="1"/>
      <protection hidden="1"/>
    </xf>
    <xf numFmtId="177" fontId="30" fillId="6" borderId="30" xfId="0" applyNumberFormat="1" applyFont="1" applyFill="1" applyBorder="1" applyAlignment="1" applyProtection="1">
      <alignment horizontal="center" vertical="center"/>
      <protection hidden="1"/>
    </xf>
    <xf numFmtId="166" fontId="30" fillId="6" borderId="9" xfId="0" applyNumberFormat="1" applyFont="1" applyFill="1" applyBorder="1" applyAlignment="1" applyProtection="1">
      <alignment horizontal="center" vertical="center"/>
      <protection hidden="1"/>
    </xf>
    <xf numFmtId="166" fontId="12" fillId="6" borderId="9" xfId="0" applyNumberFormat="1" applyFont="1" applyFill="1" applyBorder="1" applyAlignment="1" applyProtection="1">
      <alignment horizontal="center" vertical="center"/>
      <protection hidden="1"/>
    </xf>
    <xf numFmtId="0" fontId="30" fillId="6" borderId="66" xfId="0" applyFont="1" applyFill="1" applyBorder="1" applyAlignment="1" applyProtection="1">
      <alignment horizontal="center" vertical="center" wrapText="1"/>
      <protection hidden="1"/>
    </xf>
    <xf numFmtId="1" fontId="30" fillId="6" borderId="40" xfId="0" applyNumberFormat="1" applyFont="1" applyFill="1" applyBorder="1" applyAlignment="1" applyProtection="1">
      <alignment horizontal="center" vertical="center" wrapText="1"/>
      <protection hidden="1"/>
    </xf>
    <xf numFmtId="177" fontId="30" fillId="6" borderId="40" xfId="0" applyNumberFormat="1" applyFont="1" applyFill="1" applyBorder="1" applyAlignment="1" applyProtection="1">
      <alignment horizontal="center" vertical="center"/>
      <protection hidden="1"/>
    </xf>
    <xf numFmtId="166" fontId="30" fillId="6" borderId="41" xfId="0" applyNumberFormat="1" applyFont="1" applyFill="1" applyBorder="1" applyAlignment="1" applyProtection="1">
      <alignment horizontal="center" vertical="center"/>
      <protection hidden="1"/>
    </xf>
    <xf numFmtId="177" fontId="30" fillId="6" borderId="37" xfId="0" applyNumberFormat="1" applyFont="1" applyFill="1" applyBorder="1" applyAlignment="1" applyProtection="1">
      <alignment horizontal="center" vertical="center"/>
      <protection hidden="1"/>
    </xf>
    <xf numFmtId="166" fontId="30" fillId="6" borderId="38" xfId="0" applyNumberFormat="1" applyFont="1" applyFill="1" applyBorder="1" applyAlignment="1" applyProtection="1">
      <alignment horizontal="center" vertical="center"/>
      <protection hidden="1"/>
    </xf>
    <xf numFmtId="11" fontId="30" fillId="2" borderId="0" xfId="0" applyNumberFormat="1" applyFont="1" applyFill="1" applyAlignment="1" applyProtection="1">
      <alignment vertical="center" wrapText="1"/>
      <protection hidden="1"/>
    </xf>
    <xf numFmtId="166" fontId="30" fillId="2" borderId="0" xfId="0" applyNumberFormat="1" applyFont="1" applyFill="1" applyAlignment="1" applyProtection="1">
      <alignment vertical="center" wrapText="1"/>
      <protection hidden="1"/>
    </xf>
    <xf numFmtId="2" fontId="30" fillId="6" borderId="38" xfId="0" applyNumberFormat="1" applyFont="1" applyFill="1" applyBorder="1" applyAlignment="1" applyProtection="1">
      <alignment horizontal="center" vertical="center" wrapText="1"/>
      <protection hidden="1"/>
    </xf>
    <xf numFmtId="0" fontId="12" fillId="4" borderId="19" xfId="0" applyFont="1" applyFill="1" applyBorder="1" applyAlignment="1" applyProtection="1">
      <alignment horizontal="center" vertical="center" wrapText="1"/>
      <protection hidden="1"/>
    </xf>
    <xf numFmtId="167" fontId="30" fillId="6" borderId="38" xfId="0" applyNumberFormat="1" applyFont="1" applyFill="1" applyBorder="1" applyAlignment="1" applyProtection="1">
      <alignment horizontal="center" vertical="center" wrapText="1"/>
      <protection hidden="1"/>
    </xf>
    <xf numFmtId="0" fontId="3" fillId="0" borderId="0" xfId="0" applyFont="1"/>
    <xf numFmtId="0" fontId="4" fillId="21" borderId="55" xfId="0" applyFont="1" applyFill="1" applyBorder="1" applyAlignment="1">
      <alignment horizontal="center" vertical="center" wrapText="1"/>
    </xf>
    <xf numFmtId="2" fontId="4" fillId="21" borderId="38" xfId="0" applyNumberFormat="1" applyFont="1" applyFill="1" applyBorder="1" applyAlignment="1">
      <alignment horizontal="center" vertical="center" wrapText="1"/>
    </xf>
    <xf numFmtId="0" fontId="4" fillId="21" borderId="37" xfId="0" applyFont="1" applyFill="1" applyBorder="1" applyAlignment="1">
      <alignment horizontal="center" vertical="center" wrapText="1"/>
    </xf>
    <xf numFmtId="0" fontId="4" fillId="21" borderId="38" xfId="0" applyFont="1" applyFill="1" applyBorder="1" applyAlignment="1">
      <alignment horizontal="center" vertical="center" wrapText="1"/>
    </xf>
    <xf numFmtId="0" fontId="4" fillId="21" borderId="39" xfId="0" applyFont="1" applyFill="1" applyBorder="1" applyAlignment="1">
      <alignment horizontal="center" vertical="center" wrapText="1"/>
    </xf>
    <xf numFmtId="0" fontId="4" fillId="21" borderId="33" xfId="0" applyFont="1" applyFill="1" applyBorder="1" applyAlignment="1">
      <alignment horizontal="center" vertical="center" wrapText="1"/>
    </xf>
    <xf numFmtId="2" fontId="4" fillId="21" borderId="9" xfId="0" applyNumberFormat="1" applyFont="1" applyFill="1" applyBorder="1" applyAlignment="1">
      <alignment horizontal="center" vertical="center" wrapText="1"/>
    </xf>
    <xf numFmtId="0" fontId="4" fillId="21" borderId="30" xfId="0" applyFont="1" applyFill="1" applyBorder="1" applyAlignment="1">
      <alignment horizontal="center" vertical="center" wrapText="1"/>
    </xf>
    <xf numFmtId="0" fontId="4" fillId="21" borderId="9" xfId="0" applyFont="1" applyFill="1" applyBorder="1" applyAlignment="1">
      <alignment horizontal="center" vertical="center" wrapText="1"/>
    </xf>
    <xf numFmtId="0" fontId="4" fillId="21" borderId="32" xfId="0" applyFont="1" applyFill="1" applyBorder="1" applyAlignment="1">
      <alignment horizontal="center" vertical="center" wrapText="1"/>
    </xf>
    <xf numFmtId="0" fontId="4" fillId="21" borderId="53" xfId="0" applyFont="1" applyFill="1" applyBorder="1" applyAlignment="1">
      <alignment horizontal="center" vertical="center" wrapText="1"/>
    </xf>
    <xf numFmtId="2" fontId="4" fillId="21" borderId="41" xfId="0" applyNumberFormat="1" applyFont="1" applyFill="1" applyBorder="1" applyAlignment="1">
      <alignment horizontal="center" vertical="center" wrapText="1"/>
    </xf>
    <xf numFmtId="0" fontId="4" fillId="21" borderId="18" xfId="0" applyFont="1" applyFill="1" applyBorder="1" applyAlignment="1">
      <alignment horizontal="center" vertical="center" wrapText="1"/>
    </xf>
    <xf numFmtId="0" fontId="4" fillId="21" borderId="21" xfId="0" applyFont="1" applyFill="1" applyBorder="1" applyAlignment="1">
      <alignment horizontal="center" vertical="center" wrapText="1"/>
    </xf>
    <xf numFmtId="0" fontId="4" fillId="21" borderId="19" xfId="0" applyFont="1" applyFill="1" applyBorder="1" applyAlignment="1">
      <alignment horizontal="center" vertical="center" wrapText="1"/>
    </xf>
    <xf numFmtId="0" fontId="31" fillId="0" borderId="0" xfId="0" applyFont="1"/>
    <xf numFmtId="0" fontId="11"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167" fontId="4" fillId="0" borderId="0" xfId="0" applyNumberFormat="1" applyFont="1" applyAlignment="1">
      <alignment horizontal="center" vertical="center" wrapText="1"/>
    </xf>
    <xf numFmtId="0" fontId="4" fillId="4" borderId="21" xfId="0" applyFont="1" applyFill="1" applyBorder="1" applyAlignment="1" applyProtection="1">
      <alignment horizontal="center" vertical="center" wrapText="1"/>
      <protection hidden="1"/>
    </xf>
    <xf numFmtId="0" fontId="4" fillId="4" borderId="18" xfId="0" applyFont="1" applyFill="1" applyBorder="1" applyAlignment="1" applyProtection="1">
      <alignment horizontal="center" vertical="center" wrapText="1"/>
      <protection hidden="1"/>
    </xf>
    <xf numFmtId="0" fontId="4" fillId="4" borderId="26" xfId="0" applyFont="1" applyFill="1" applyBorder="1" applyAlignment="1" applyProtection="1">
      <alignment horizontal="center" vertical="center" wrapText="1"/>
      <protection hidden="1"/>
    </xf>
    <xf numFmtId="0" fontId="4" fillId="4" borderId="20" xfId="0" applyFont="1" applyFill="1" applyBorder="1" applyAlignment="1" applyProtection="1">
      <alignment horizontal="center" vertical="center" wrapText="1"/>
      <protection hidden="1"/>
    </xf>
    <xf numFmtId="167" fontId="30" fillId="6" borderId="39" xfId="0" applyNumberFormat="1" applyFont="1" applyFill="1" applyBorder="1" applyAlignment="1" applyProtection="1">
      <alignment horizontal="center" vertical="center" wrapText="1"/>
      <protection hidden="1"/>
    </xf>
    <xf numFmtId="2" fontId="30" fillId="6" borderId="32" xfId="0" applyNumberFormat="1" applyFont="1" applyFill="1" applyBorder="1" applyAlignment="1" applyProtection="1">
      <alignment horizontal="center" vertical="center" wrapText="1"/>
      <protection hidden="1"/>
    </xf>
    <xf numFmtId="165" fontId="30" fillId="6" borderId="32" xfId="0" applyNumberFormat="1" applyFont="1" applyFill="1" applyBorder="1" applyAlignment="1" applyProtection="1">
      <alignment horizontal="center" vertical="center" wrapText="1"/>
      <protection hidden="1"/>
    </xf>
    <xf numFmtId="165" fontId="30" fillId="6" borderId="35" xfId="0" applyNumberFormat="1"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2" fontId="30" fillId="0" borderId="0" xfId="9" applyFont="1" applyFill="1" applyBorder="1" applyAlignment="1">
      <alignment horizontal="center" vertical="center" wrapText="1"/>
      <protection locked="0"/>
    </xf>
    <xf numFmtId="20" fontId="30" fillId="5" borderId="8" xfId="0" applyNumberFormat="1" applyFont="1" applyFill="1" applyBorder="1" applyAlignment="1" applyProtection="1">
      <alignment horizontal="center" vertical="center" wrapText="1"/>
      <protection locked="0" hidden="1"/>
    </xf>
    <xf numFmtId="20" fontId="30" fillId="5" borderId="47" xfId="0" applyNumberFormat="1" applyFont="1" applyFill="1" applyBorder="1" applyAlignment="1" applyProtection="1">
      <alignment horizontal="center" vertical="center" wrapText="1"/>
      <protection locked="0" hidden="1"/>
    </xf>
    <xf numFmtId="167" fontId="50" fillId="6" borderId="14" xfId="0" applyNumberFormat="1" applyFont="1" applyFill="1" applyBorder="1" applyAlignment="1">
      <alignment horizontal="center" vertical="center" wrapText="1"/>
    </xf>
    <xf numFmtId="166" fontId="50" fillId="6" borderId="14" xfId="0" applyNumberFormat="1" applyFont="1" applyFill="1" applyBorder="1" applyAlignment="1">
      <alignment horizontal="center" vertical="center" wrapText="1"/>
    </xf>
    <xf numFmtId="2" fontId="49" fillId="6" borderId="14" xfId="0" applyNumberFormat="1" applyFont="1" applyFill="1" applyBorder="1" applyAlignment="1">
      <alignment horizontal="center" vertical="center" wrapText="1"/>
    </xf>
    <xf numFmtId="167" fontId="49" fillId="6" borderId="14" xfId="0" applyNumberFormat="1" applyFont="1" applyFill="1" applyBorder="1" applyAlignment="1" applyProtection="1">
      <alignment horizontal="center" vertical="center" wrapText="1"/>
      <protection hidden="1"/>
    </xf>
    <xf numFmtId="0" fontId="49" fillId="6" borderId="14" xfId="0" applyFont="1" applyFill="1" applyBorder="1" applyAlignment="1" applyProtection="1">
      <alignment horizontal="center" vertical="center" wrapText="1"/>
      <protection hidden="1"/>
    </xf>
    <xf numFmtId="165" fontId="14" fillId="6" borderId="65" xfId="0" applyNumberFormat="1" applyFont="1" applyFill="1" applyBorder="1" applyAlignment="1">
      <alignment horizontal="center" vertical="center" wrapText="1"/>
    </xf>
    <xf numFmtId="165" fontId="14" fillId="6" borderId="63" xfId="0" applyNumberFormat="1" applyFont="1" applyFill="1" applyBorder="1" applyAlignment="1">
      <alignment horizontal="center" vertical="center" wrapText="1"/>
    </xf>
    <xf numFmtId="165" fontId="12" fillId="6" borderId="63" xfId="0" applyNumberFormat="1" applyFont="1" applyFill="1" applyBorder="1" applyAlignment="1">
      <alignment horizontal="center" vertical="center" wrapText="1"/>
    </xf>
    <xf numFmtId="165" fontId="14" fillId="6" borderId="66" xfId="0" applyNumberFormat="1" applyFont="1" applyFill="1" applyBorder="1" applyAlignment="1">
      <alignment horizontal="center" vertical="center" wrapText="1"/>
    </xf>
    <xf numFmtId="0" fontId="12" fillId="22" borderId="10" xfId="0" applyFont="1" applyFill="1" applyBorder="1" applyAlignment="1">
      <alignment horizontal="left" vertical="center" wrapText="1"/>
    </xf>
    <xf numFmtId="0" fontId="12" fillId="22" borderId="47" xfId="0" applyFont="1" applyFill="1" applyBorder="1" applyAlignment="1">
      <alignment horizontal="center" vertical="center"/>
    </xf>
    <xf numFmtId="0" fontId="12" fillId="22" borderId="41" xfId="0" applyFont="1" applyFill="1" applyBorder="1" applyAlignment="1">
      <alignment horizontal="center" vertical="center" wrapText="1"/>
    </xf>
    <xf numFmtId="11" fontId="30" fillId="22" borderId="41" xfId="0" applyNumberFormat="1" applyFont="1" applyFill="1" applyBorder="1" applyAlignment="1">
      <alignment horizontal="center" vertical="center" wrapText="1"/>
    </xf>
    <xf numFmtId="0" fontId="30" fillId="22" borderId="41" xfId="0" applyFont="1" applyFill="1" applyBorder="1" applyAlignment="1">
      <alignment horizontal="center" vertical="center" wrapText="1"/>
    </xf>
    <xf numFmtId="2" fontId="30" fillId="22" borderId="41" xfId="0" applyNumberFormat="1" applyFont="1" applyFill="1" applyBorder="1" applyAlignment="1">
      <alignment horizontal="center" vertical="center" wrapText="1"/>
    </xf>
    <xf numFmtId="1" fontId="30" fillId="22" borderId="41" xfId="0" applyNumberFormat="1" applyFont="1" applyFill="1" applyBorder="1" applyAlignment="1">
      <alignment horizontal="center" vertical="center" wrapText="1"/>
    </xf>
    <xf numFmtId="177" fontId="30" fillId="22" borderId="41" xfId="0" applyNumberFormat="1" applyFont="1" applyFill="1" applyBorder="1" applyAlignment="1">
      <alignment horizontal="center" vertical="center" wrapText="1"/>
    </xf>
    <xf numFmtId="177" fontId="30" fillId="22" borderId="52" xfId="0" applyNumberFormat="1" applyFont="1" applyFill="1" applyBorder="1" applyAlignment="1">
      <alignment horizontal="center" vertical="center" wrapText="1"/>
    </xf>
    <xf numFmtId="0" fontId="3" fillId="0" borderId="0" xfId="0" applyFont="1" applyAlignment="1" applyProtection="1">
      <alignment vertical="center" wrapText="1"/>
      <protection hidden="1"/>
    </xf>
    <xf numFmtId="0" fontId="3" fillId="2" borderId="0" xfId="0" applyFont="1" applyFill="1" applyAlignment="1" applyProtection="1">
      <alignment vertical="center" wrapText="1"/>
      <protection hidden="1"/>
    </xf>
    <xf numFmtId="0" fontId="4" fillId="2" borderId="0" xfId="0" applyFont="1" applyFill="1" applyAlignment="1" applyProtection="1">
      <alignment horizontal="center" vertical="center" wrapText="1"/>
      <protection hidden="1"/>
    </xf>
    <xf numFmtId="0" fontId="3" fillId="2" borderId="0" xfId="0" applyFont="1" applyFill="1" applyProtection="1">
      <protection hidden="1"/>
    </xf>
    <xf numFmtId="1" fontId="15" fillId="5" borderId="43" xfId="0" applyNumberFormat="1" applyFont="1" applyFill="1" applyBorder="1" applyAlignment="1" applyProtection="1">
      <alignment horizontal="center" vertical="center" wrapText="1"/>
      <protection locked="0" hidden="1"/>
    </xf>
    <xf numFmtId="0" fontId="9" fillId="17" borderId="47" xfId="6" applyBorder="1" applyAlignment="1" applyProtection="1">
      <alignment horizontal="center" vertical="center"/>
      <protection locked="0" hidden="1"/>
    </xf>
    <xf numFmtId="0" fontId="4" fillId="2" borderId="0" xfId="0" applyFont="1" applyFill="1" applyAlignment="1" applyProtection="1">
      <alignment horizontal="center" vertical="center"/>
      <protection hidden="1"/>
    </xf>
    <xf numFmtId="0" fontId="4" fillId="2" borderId="0" xfId="0" applyFont="1" applyFill="1" applyAlignment="1" applyProtection="1">
      <alignment vertical="center" wrapText="1"/>
      <protection hidden="1"/>
    </xf>
    <xf numFmtId="0" fontId="17" fillId="18" borderId="1" xfId="0" applyFont="1" applyFill="1" applyBorder="1" applyAlignment="1" applyProtection="1">
      <alignment horizontal="center" vertical="center"/>
      <protection hidden="1"/>
    </xf>
    <xf numFmtId="2" fontId="4" fillId="4" borderId="40" xfId="0" applyNumberFormat="1" applyFont="1" applyFill="1" applyBorder="1" applyAlignment="1" applyProtection="1">
      <alignment horizontal="center" vertical="center"/>
      <protection hidden="1"/>
    </xf>
    <xf numFmtId="2" fontId="4" fillId="4" borderId="41" xfId="0" applyNumberFormat="1" applyFont="1" applyFill="1" applyBorder="1" applyAlignment="1" applyProtection="1">
      <alignment horizontal="center" vertical="center" wrapText="1"/>
      <protection hidden="1"/>
    </xf>
    <xf numFmtId="2" fontId="4" fillId="4" borderId="35" xfId="0" applyNumberFormat="1" applyFont="1" applyFill="1" applyBorder="1" applyAlignment="1" applyProtection="1">
      <alignment horizontal="center" vertical="center" wrapText="1"/>
      <protection hidden="1"/>
    </xf>
    <xf numFmtId="0" fontId="40" fillId="0" borderId="0" xfId="0" applyFont="1" applyAlignment="1">
      <alignment horizontal="center"/>
    </xf>
    <xf numFmtId="2" fontId="55" fillId="0" borderId="1" xfId="0" applyNumberFormat="1" applyFont="1" applyBorder="1" applyAlignment="1">
      <alignment horizontal="center"/>
    </xf>
    <xf numFmtId="166" fontId="40" fillId="0" borderId="0" xfId="0" applyNumberFormat="1" applyFont="1"/>
    <xf numFmtId="2" fontId="12" fillId="2" borderId="1" xfId="0" applyNumberFormat="1" applyFont="1" applyFill="1" applyBorder="1" applyAlignment="1" applyProtection="1">
      <alignment horizontal="center" wrapText="1"/>
      <protection hidden="1"/>
    </xf>
    <xf numFmtId="166" fontId="12" fillId="2" borderId="1" xfId="0" applyNumberFormat="1" applyFont="1" applyFill="1" applyBorder="1" applyAlignment="1" applyProtection="1">
      <alignment horizontal="center" wrapText="1"/>
      <protection hidden="1"/>
    </xf>
    <xf numFmtId="167" fontId="49" fillId="6" borderId="33" xfId="0" applyNumberFormat="1" applyFont="1" applyFill="1" applyBorder="1" applyAlignment="1" applyProtection="1">
      <alignment horizontal="center" vertical="center" wrapText="1"/>
      <protection hidden="1"/>
    </xf>
    <xf numFmtId="167" fontId="30" fillId="5" borderId="17" xfId="0" applyNumberFormat="1" applyFont="1" applyFill="1" applyBorder="1" applyAlignment="1" applyProtection="1">
      <alignment horizontal="center" vertical="center" wrapText="1"/>
      <protection locked="0" hidden="1"/>
    </xf>
    <xf numFmtId="167" fontId="30" fillId="5" borderId="25" xfId="0" applyNumberFormat="1" applyFont="1" applyFill="1" applyBorder="1" applyAlignment="1" applyProtection="1">
      <alignment horizontal="center" vertical="center" wrapText="1"/>
      <protection locked="0" hidden="1"/>
    </xf>
    <xf numFmtId="166" fontId="48" fillId="5" borderId="14" xfId="0" applyNumberFormat="1" applyFont="1" applyFill="1" applyBorder="1" applyAlignment="1">
      <alignment horizontal="center" vertical="center" wrapText="1"/>
    </xf>
    <xf numFmtId="166" fontId="48" fillId="5" borderId="9" xfId="0" applyNumberFormat="1" applyFont="1" applyFill="1" applyBorder="1" applyAlignment="1">
      <alignment horizontal="center" vertical="center" wrapText="1"/>
    </xf>
    <xf numFmtId="1" fontId="49" fillId="5" borderId="14" xfId="0" applyNumberFormat="1" applyFont="1" applyFill="1" applyBorder="1" applyAlignment="1">
      <alignment horizontal="center" vertical="center" wrapText="1"/>
    </xf>
    <xf numFmtId="1" fontId="49" fillId="5" borderId="9" xfId="0" applyNumberFormat="1" applyFont="1" applyFill="1" applyBorder="1" applyAlignment="1">
      <alignment horizontal="center" vertical="center" wrapText="1"/>
    </xf>
    <xf numFmtId="0" fontId="11" fillId="18" borderId="1" xfId="0" applyFont="1" applyFill="1" applyBorder="1" applyAlignment="1" applyProtection="1">
      <alignment horizontal="center" vertical="center" wrapText="1"/>
      <protection hidden="1"/>
    </xf>
    <xf numFmtId="1" fontId="30" fillId="5" borderId="38" xfId="0" applyNumberFormat="1" applyFont="1" applyFill="1" applyBorder="1" applyAlignment="1" applyProtection="1">
      <alignment horizontal="center" vertical="center"/>
      <protection hidden="1"/>
    </xf>
    <xf numFmtId="1" fontId="30" fillId="5" borderId="9" xfId="0" applyNumberFormat="1" applyFont="1" applyFill="1" applyBorder="1" applyAlignment="1" applyProtection="1">
      <alignment horizontal="center" vertical="center"/>
      <protection hidden="1"/>
    </xf>
    <xf numFmtId="1" fontId="30" fillId="5" borderId="41" xfId="0" applyNumberFormat="1" applyFont="1" applyFill="1" applyBorder="1" applyAlignment="1" applyProtection="1">
      <alignment horizontal="center" vertical="center"/>
      <protection hidden="1"/>
    </xf>
    <xf numFmtId="0" fontId="30" fillId="5" borderId="38" xfId="0" applyFont="1" applyFill="1" applyBorder="1" applyAlignment="1" applyProtection="1">
      <alignment horizontal="center" vertical="center"/>
      <protection hidden="1"/>
    </xf>
    <xf numFmtId="0" fontId="30" fillId="5" borderId="9" xfId="0" applyFont="1" applyFill="1" applyBorder="1" applyAlignment="1" applyProtection="1">
      <alignment horizontal="center" vertical="center"/>
      <protection hidden="1"/>
    </xf>
    <xf numFmtId="0" fontId="30" fillId="5" borderId="41" xfId="0" applyFont="1" applyFill="1" applyBorder="1" applyAlignment="1" applyProtection="1">
      <alignment horizontal="center" vertical="center"/>
      <protection hidden="1"/>
    </xf>
    <xf numFmtId="165" fontId="30" fillId="5" borderId="39" xfId="0" applyNumberFormat="1" applyFont="1" applyFill="1" applyBorder="1" applyAlignment="1" applyProtection="1">
      <alignment horizontal="center" vertical="center"/>
      <protection hidden="1"/>
    </xf>
    <xf numFmtId="165" fontId="30" fillId="5" borderId="32" xfId="0" applyNumberFormat="1" applyFont="1" applyFill="1" applyBorder="1" applyAlignment="1" applyProtection="1">
      <alignment horizontal="center" vertical="center"/>
      <protection hidden="1"/>
    </xf>
    <xf numFmtId="165" fontId="30" fillId="5" borderId="35" xfId="0" applyNumberFormat="1" applyFont="1" applyFill="1" applyBorder="1" applyAlignment="1" applyProtection="1">
      <alignment horizontal="center" vertical="center"/>
      <protection hidden="1"/>
    </xf>
    <xf numFmtId="167" fontId="30" fillId="5" borderId="38" xfId="0" applyNumberFormat="1" applyFont="1" applyFill="1" applyBorder="1" applyAlignment="1" applyProtection="1">
      <alignment horizontal="center" vertical="center"/>
      <protection hidden="1"/>
    </xf>
    <xf numFmtId="167" fontId="30" fillId="5" borderId="9" xfId="0" applyNumberFormat="1" applyFont="1" applyFill="1" applyBorder="1" applyAlignment="1" applyProtection="1">
      <alignment horizontal="center" vertical="center"/>
      <protection hidden="1"/>
    </xf>
    <xf numFmtId="167" fontId="30" fillId="5" borderId="41" xfId="0" applyNumberFormat="1" applyFont="1" applyFill="1" applyBorder="1" applyAlignment="1" applyProtection="1">
      <alignment horizontal="center" vertical="center"/>
      <protection hidden="1"/>
    </xf>
    <xf numFmtId="169" fontId="30" fillId="5" borderId="38" xfId="0" applyNumberFormat="1" applyFont="1" applyFill="1" applyBorder="1" applyAlignment="1" applyProtection="1">
      <alignment horizontal="center" vertical="center"/>
      <protection hidden="1"/>
    </xf>
    <xf numFmtId="169" fontId="30" fillId="5" borderId="9" xfId="0" applyNumberFormat="1" applyFont="1" applyFill="1" applyBorder="1" applyAlignment="1" applyProtection="1">
      <alignment horizontal="center" vertical="center"/>
      <protection hidden="1"/>
    </xf>
    <xf numFmtId="169" fontId="30" fillId="5" borderId="41" xfId="0" applyNumberFormat="1" applyFont="1" applyFill="1" applyBorder="1" applyAlignment="1" applyProtection="1">
      <alignment horizontal="center" vertical="center"/>
      <protection hidden="1"/>
    </xf>
    <xf numFmtId="166" fontId="30" fillId="5" borderId="9" xfId="0" applyNumberFormat="1" applyFont="1" applyFill="1" applyBorder="1" applyAlignment="1" applyProtection="1">
      <alignment horizontal="center" vertical="center"/>
      <protection hidden="1"/>
    </xf>
    <xf numFmtId="166" fontId="30" fillId="5" borderId="41" xfId="0" applyNumberFormat="1" applyFont="1" applyFill="1" applyBorder="1" applyAlignment="1" applyProtection="1">
      <alignment horizontal="center" vertical="center"/>
      <protection hidden="1"/>
    </xf>
    <xf numFmtId="1" fontId="30" fillId="6" borderId="55" xfId="0" applyNumberFormat="1" applyFont="1" applyFill="1" applyBorder="1" applyAlignment="1" applyProtection="1">
      <alignment vertical="center" wrapText="1"/>
      <protection hidden="1"/>
    </xf>
    <xf numFmtId="1" fontId="30" fillId="6" borderId="33" xfId="0" applyNumberFormat="1" applyFont="1" applyFill="1" applyBorder="1" applyAlignment="1" applyProtection="1">
      <alignment vertical="center" wrapText="1"/>
      <protection hidden="1"/>
    </xf>
    <xf numFmtId="1" fontId="30" fillId="6" borderId="53" xfId="0" applyNumberFormat="1" applyFont="1" applyFill="1" applyBorder="1" applyAlignment="1" applyProtection="1">
      <alignment vertical="center" wrapText="1"/>
      <protection hidden="1"/>
    </xf>
    <xf numFmtId="0" fontId="30" fillId="5" borderId="38" xfId="0" applyFont="1" applyFill="1" applyBorder="1" applyAlignment="1" applyProtection="1">
      <alignment horizontal="center" vertical="center" wrapText="1"/>
      <protection hidden="1"/>
    </xf>
    <xf numFmtId="0" fontId="65" fillId="5" borderId="38" xfId="0" applyFont="1" applyFill="1" applyBorder="1" applyAlignment="1" applyProtection="1">
      <alignment horizontal="center" vertical="center" wrapText="1"/>
      <protection hidden="1"/>
    </xf>
    <xf numFmtId="0" fontId="65" fillId="5" borderId="39" xfId="0" applyFont="1" applyFill="1" applyBorder="1" applyAlignment="1" applyProtection="1">
      <alignment horizontal="center" vertical="center" wrapText="1"/>
      <protection hidden="1"/>
    </xf>
    <xf numFmtId="0" fontId="30" fillId="5" borderId="9" xfId="0" applyFont="1" applyFill="1" applyBorder="1" applyAlignment="1" applyProtection="1">
      <alignment horizontal="center" vertical="center" wrapText="1"/>
      <protection hidden="1"/>
    </xf>
    <xf numFmtId="166" fontId="30" fillId="5" borderId="32" xfId="0" applyNumberFormat="1" applyFont="1" applyFill="1" applyBorder="1" applyAlignment="1" applyProtection="1">
      <alignment horizontal="center" vertical="center" wrapText="1"/>
      <protection hidden="1"/>
    </xf>
    <xf numFmtId="0" fontId="65" fillId="5" borderId="41" xfId="0" applyFont="1" applyFill="1" applyBorder="1" applyAlignment="1" applyProtection="1">
      <alignment horizontal="center" vertical="center" wrapText="1"/>
      <protection hidden="1"/>
    </xf>
    <xf numFmtId="0" fontId="65" fillId="5" borderId="41" xfId="0" applyFont="1" applyFill="1" applyBorder="1" applyAlignment="1" applyProtection="1">
      <alignment vertical="center" wrapText="1"/>
      <protection hidden="1"/>
    </xf>
    <xf numFmtId="0" fontId="65" fillId="5" borderId="35" xfId="0" applyFont="1" applyFill="1" applyBorder="1" applyAlignment="1" applyProtection="1">
      <alignment vertical="center" wrapText="1"/>
      <protection hidden="1"/>
    </xf>
    <xf numFmtId="3" fontId="30" fillId="5" borderId="37" xfId="0" applyNumberFormat="1" applyFont="1" applyFill="1" applyBorder="1" applyAlignment="1" applyProtection="1">
      <alignment horizontal="center" vertical="center" wrapText="1"/>
      <protection hidden="1"/>
    </xf>
    <xf numFmtId="3" fontId="30" fillId="5" borderId="38" xfId="0" applyNumberFormat="1" applyFont="1" applyFill="1" applyBorder="1" applyAlignment="1" applyProtection="1">
      <alignment horizontal="center" vertical="center" wrapText="1"/>
      <protection hidden="1"/>
    </xf>
    <xf numFmtId="169" fontId="30" fillId="5" borderId="38" xfId="0" applyNumberFormat="1" applyFont="1" applyFill="1" applyBorder="1" applyAlignment="1" applyProtection="1">
      <alignment horizontal="center" vertical="center" wrapText="1"/>
      <protection hidden="1"/>
    </xf>
    <xf numFmtId="166" fontId="30" fillId="5" borderId="38" xfId="0" applyNumberFormat="1" applyFont="1" applyFill="1" applyBorder="1" applyAlignment="1" applyProtection="1">
      <alignment horizontal="center" vertical="center" wrapText="1"/>
      <protection hidden="1"/>
    </xf>
    <xf numFmtId="171" fontId="30" fillId="5" borderId="38" xfId="0" applyNumberFormat="1" applyFont="1" applyFill="1" applyBorder="1" applyAlignment="1" applyProtection="1">
      <alignment horizontal="center" vertical="center" wrapText="1"/>
      <protection hidden="1"/>
    </xf>
    <xf numFmtId="165" fontId="30" fillId="5" borderId="38" xfId="0" applyNumberFormat="1" applyFont="1" applyFill="1" applyBorder="1" applyAlignment="1" applyProtection="1">
      <alignment horizontal="center" vertical="center" wrapText="1"/>
      <protection hidden="1"/>
    </xf>
    <xf numFmtId="165" fontId="30" fillId="5" borderId="39" xfId="0" applyNumberFormat="1" applyFont="1" applyFill="1" applyBorder="1" applyAlignment="1" applyProtection="1">
      <alignment horizontal="center" vertical="center" wrapText="1"/>
      <protection hidden="1"/>
    </xf>
    <xf numFmtId="3" fontId="30" fillId="5" borderId="30" xfId="0" applyNumberFormat="1" applyFont="1" applyFill="1" applyBorder="1" applyAlignment="1" applyProtection="1">
      <alignment horizontal="center" vertical="center" wrapText="1"/>
      <protection hidden="1"/>
    </xf>
    <xf numFmtId="3" fontId="30" fillId="5" borderId="17" xfId="0" applyNumberFormat="1" applyFont="1" applyFill="1" applyBorder="1" applyAlignment="1" applyProtection="1">
      <alignment horizontal="center" vertical="center" wrapText="1"/>
      <protection hidden="1"/>
    </xf>
    <xf numFmtId="169" fontId="30" fillId="5" borderId="9" xfId="0" applyNumberFormat="1" applyFont="1" applyFill="1" applyBorder="1" applyAlignment="1" applyProtection="1">
      <alignment horizontal="center" vertical="center" wrapText="1"/>
      <protection hidden="1"/>
    </xf>
    <xf numFmtId="3" fontId="30" fillId="5" borderId="40" xfId="0" applyNumberFormat="1" applyFont="1" applyFill="1" applyBorder="1" applyAlignment="1" applyProtection="1">
      <alignment horizontal="center" vertical="center" wrapText="1"/>
      <protection hidden="1"/>
    </xf>
    <xf numFmtId="0" fontId="30" fillId="5" borderId="41" xfId="0" applyFont="1" applyFill="1" applyBorder="1" applyAlignment="1" applyProtection="1">
      <alignment horizontal="center" vertical="center" wrapText="1"/>
      <protection hidden="1"/>
    </xf>
    <xf numFmtId="3" fontId="30" fillId="5" borderId="41" xfId="0" applyNumberFormat="1" applyFont="1" applyFill="1" applyBorder="1" applyAlignment="1" applyProtection="1">
      <alignment horizontal="center" vertical="center" wrapText="1"/>
      <protection hidden="1"/>
    </xf>
    <xf numFmtId="169" fontId="30" fillId="5" borderId="41" xfId="0" applyNumberFormat="1" applyFont="1" applyFill="1" applyBorder="1" applyAlignment="1" applyProtection="1">
      <alignment horizontal="center" vertical="center" wrapText="1"/>
      <protection hidden="1"/>
    </xf>
    <xf numFmtId="0" fontId="30" fillId="5" borderId="37" xfId="0" applyFont="1" applyFill="1" applyBorder="1" applyAlignment="1" applyProtection="1">
      <alignment horizontal="center" vertical="center" wrapText="1"/>
      <protection hidden="1"/>
    </xf>
    <xf numFmtId="164" fontId="30" fillId="5" borderId="39" xfId="0" applyNumberFormat="1" applyFont="1" applyFill="1" applyBorder="1" applyAlignment="1" applyProtection="1">
      <alignment horizontal="center" vertical="center"/>
      <protection hidden="1"/>
    </xf>
    <xf numFmtId="0" fontId="30" fillId="5" borderId="30" xfId="0" applyFont="1" applyFill="1" applyBorder="1" applyAlignment="1" applyProtection="1">
      <alignment horizontal="center" vertical="center" wrapText="1"/>
      <protection hidden="1"/>
    </xf>
    <xf numFmtId="164" fontId="30" fillId="5" borderId="32" xfId="0" applyNumberFormat="1" applyFont="1" applyFill="1" applyBorder="1" applyAlignment="1" applyProtection="1">
      <alignment horizontal="center" vertical="center"/>
      <protection hidden="1"/>
    </xf>
    <xf numFmtId="186" fontId="30" fillId="5" borderId="9" xfId="0" applyNumberFormat="1" applyFont="1" applyFill="1" applyBorder="1" applyAlignment="1" applyProtection="1">
      <alignment horizontal="center" vertical="center"/>
      <protection hidden="1"/>
    </xf>
    <xf numFmtId="186" fontId="30" fillId="5" borderId="38" xfId="0" applyNumberFormat="1" applyFont="1" applyFill="1" applyBorder="1" applyAlignment="1" applyProtection="1">
      <alignment horizontal="center" vertical="center"/>
      <protection hidden="1"/>
    </xf>
    <xf numFmtId="0" fontId="30" fillId="5" borderId="40" xfId="0" applyFont="1" applyFill="1" applyBorder="1" applyAlignment="1" applyProtection="1">
      <alignment horizontal="center" vertical="center" wrapText="1"/>
      <protection hidden="1"/>
    </xf>
    <xf numFmtId="186" fontId="30" fillId="5" borderId="41" xfId="0" applyNumberFormat="1" applyFont="1" applyFill="1" applyBorder="1" applyAlignment="1" applyProtection="1">
      <alignment horizontal="center" vertical="center"/>
      <protection hidden="1"/>
    </xf>
    <xf numFmtId="164" fontId="30" fillId="5" borderId="35" xfId="0" applyNumberFormat="1" applyFont="1" applyFill="1" applyBorder="1" applyAlignment="1" applyProtection="1">
      <alignment horizontal="center" vertical="center"/>
      <protection hidden="1"/>
    </xf>
    <xf numFmtId="2" fontId="12" fillId="6" borderId="47" xfId="0" applyNumberFormat="1" applyFont="1" applyFill="1" applyBorder="1" applyAlignment="1">
      <alignment horizontal="center" vertical="center" wrapText="1"/>
    </xf>
    <xf numFmtId="0" fontId="30" fillId="6" borderId="47" xfId="0" applyFont="1" applyFill="1" applyBorder="1" applyAlignment="1">
      <alignment horizontal="center" vertical="center" wrapText="1"/>
    </xf>
    <xf numFmtId="0" fontId="30" fillId="6" borderId="1" xfId="0" applyFont="1" applyFill="1" applyBorder="1" applyAlignment="1">
      <alignment horizontal="center" vertical="center" wrapText="1"/>
    </xf>
    <xf numFmtId="165" fontId="12" fillId="6" borderId="1" xfId="0" applyNumberFormat="1" applyFont="1" applyFill="1" applyBorder="1" applyAlignment="1">
      <alignment horizontal="center" vertical="center" wrapText="1"/>
    </xf>
    <xf numFmtId="166" fontId="12" fillId="6" borderId="1" xfId="11" applyNumberFormat="1" applyFont="1" applyFill="1" applyBorder="1" applyAlignment="1">
      <alignment horizontal="center" vertical="center" wrapText="1"/>
    </xf>
    <xf numFmtId="0" fontId="42" fillId="17" borderId="8" xfId="6" applyFont="1" applyBorder="1" applyAlignment="1" applyProtection="1">
      <alignment horizontal="center" vertical="center"/>
      <protection locked="0" hidden="1"/>
    </xf>
    <xf numFmtId="2" fontId="48" fillId="5" borderId="14" xfId="0" applyNumberFormat="1" applyFont="1" applyFill="1" applyBorder="1" applyAlignment="1">
      <alignment horizontal="center" vertical="center" wrapText="1"/>
    </xf>
    <xf numFmtId="2" fontId="48" fillId="5" borderId="45" xfId="0" applyNumberFormat="1" applyFont="1" applyFill="1" applyBorder="1" applyAlignment="1">
      <alignment horizontal="center" vertical="center" wrapText="1"/>
    </xf>
    <xf numFmtId="167" fontId="30" fillId="11" borderId="18" xfId="0" applyNumberFormat="1" applyFont="1" applyFill="1" applyBorder="1" applyAlignment="1" applyProtection="1">
      <alignment horizontal="center" vertical="top" wrapText="1"/>
      <protection hidden="1"/>
    </xf>
    <xf numFmtId="2" fontId="30" fillId="5" borderId="14" xfId="0" applyNumberFormat="1" applyFont="1" applyFill="1" applyBorder="1" applyAlignment="1" applyProtection="1">
      <alignment horizontal="center" vertical="center" wrapText="1"/>
      <protection hidden="1"/>
    </xf>
    <xf numFmtId="2" fontId="30" fillId="5" borderId="24" xfId="0" applyNumberFormat="1" applyFont="1" applyFill="1" applyBorder="1" applyAlignment="1" applyProtection="1">
      <alignment horizontal="center" vertical="center" wrapText="1"/>
      <protection hidden="1"/>
    </xf>
    <xf numFmtId="2" fontId="30" fillId="5" borderId="9" xfId="0" applyNumberFormat="1" applyFont="1" applyFill="1" applyBorder="1" applyAlignment="1" applyProtection="1">
      <alignment horizontal="center" vertical="center" wrapText="1"/>
      <protection hidden="1"/>
    </xf>
    <xf numFmtId="2" fontId="30" fillId="5" borderId="12" xfId="0" applyNumberFormat="1" applyFont="1" applyFill="1" applyBorder="1" applyAlignment="1" applyProtection="1">
      <alignment horizontal="center" vertical="center" wrapText="1"/>
      <protection hidden="1"/>
    </xf>
    <xf numFmtId="2" fontId="50" fillId="6" borderId="54" xfId="0" applyNumberFormat="1" applyFont="1" applyFill="1" applyBorder="1" applyAlignment="1" applyProtection="1">
      <alignment horizontal="center" vertical="center" wrapText="1"/>
      <protection hidden="1"/>
    </xf>
    <xf numFmtId="2" fontId="50" fillId="6" borderId="41" xfId="0" applyNumberFormat="1" applyFont="1" applyFill="1" applyBorder="1" applyAlignment="1" applyProtection="1">
      <alignment horizontal="center" vertical="center" wrapText="1"/>
      <protection hidden="1"/>
    </xf>
    <xf numFmtId="2" fontId="30" fillId="0" borderId="0" xfId="0" applyNumberFormat="1" applyFont="1" applyAlignment="1">
      <alignment horizontal="center"/>
    </xf>
    <xf numFmtId="169" fontId="30" fillId="0" borderId="0" xfId="0" applyNumberFormat="1" applyFont="1" applyAlignment="1" applyProtection="1">
      <alignment horizontal="left" vertical="center" wrapText="1"/>
      <protection hidden="1"/>
    </xf>
    <xf numFmtId="0" fontId="12" fillId="4" borderId="18" xfId="0" applyFont="1" applyFill="1" applyBorder="1" applyAlignment="1" applyProtection="1">
      <alignment horizontal="center" vertical="center" wrapText="1"/>
      <protection hidden="1"/>
    </xf>
    <xf numFmtId="167" fontId="30" fillId="6" borderId="9" xfId="0" applyNumberFormat="1" applyFont="1" applyFill="1" applyBorder="1" applyAlignment="1" applyProtection="1">
      <alignment horizontal="center" vertical="center" wrapText="1"/>
      <protection hidden="1"/>
    </xf>
    <xf numFmtId="167" fontId="30" fillId="6" borderId="41" xfId="0" applyNumberFormat="1" applyFont="1" applyFill="1" applyBorder="1" applyAlignment="1" applyProtection="1">
      <alignment horizontal="center" vertical="center" wrapText="1"/>
      <protection hidden="1"/>
    </xf>
    <xf numFmtId="1" fontId="30" fillId="6" borderId="38" xfId="0" applyNumberFormat="1" applyFont="1" applyFill="1" applyBorder="1" applyAlignment="1" applyProtection="1">
      <alignment horizontal="center" vertical="center" wrapText="1"/>
      <protection hidden="1"/>
    </xf>
    <xf numFmtId="1" fontId="30" fillId="6" borderId="9" xfId="0" applyNumberFormat="1" applyFont="1" applyFill="1" applyBorder="1" applyAlignment="1" applyProtection="1">
      <alignment horizontal="center" vertical="center" wrapText="1"/>
      <protection hidden="1"/>
    </xf>
    <xf numFmtId="1" fontId="30" fillId="6" borderId="41" xfId="0" applyNumberFormat="1" applyFont="1" applyFill="1" applyBorder="1" applyAlignment="1" applyProtection="1">
      <alignment horizontal="center" vertical="center" wrapText="1"/>
      <protection hidden="1"/>
    </xf>
    <xf numFmtId="1" fontId="12" fillId="6" borderId="1" xfId="0" applyNumberFormat="1" applyFont="1" applyFill="1" applyBorder="1" applyAlignment="1">
      <alignment horizontal="center" vertical="center" wrapText="1"/>
    </xf>
    <xf numFmtId="165" fontId="30" fillId="5" borderId="11" xfId="0" applyNumberFormat="1" applyFont="1" applyFill="1" applyBorder="1" applyAlignment="1" applyProtection="1">
      <alignment horizontal="center" vertical="center"/>
      <protection hidden="1"/>
    </xf>
    <xf numFmtId="0" fontId="12" fillId="0" borderId="0" xfId="0" applyFont="1" applyAlignment="1" applyProtection="1">
      <alignment vertical="center"/>
      <protection hidden="1"/>
    </xf>
    <xf numFmtId="169" fontId="12" fillId="0" borderId="0" xfId="0" applyNumberFormat="1" applyFont="1" applyAlignment="1" applyProtection="1">
      <alignment vertical="center"/>
      <protection hidden="1"/>
    </xf>
    <xf numFmtId="169" fontId="30" fillId="0" borderId="0" xfId="0" applyNumberFormat="1" applyFont="1" applyProtection="1">
      <protection hidden="1"/>
    </xf>
    <xf numFmtId="0" fontId="30" fillId="0" borderId="0" xfId="0" applyFont="1" applyAlignment="1" applyProtection="1">
      <alignment vertical="center"/>
      <protection hidden="1"/>
    </xf>
    <xf numFmtId="0" fontId="41" fillId="0" borderId="0" xfId="0" applyFont="1" applyProtection="1">
      <protection hidden="1"/>
    </xf>
    <xf numFmtId="0" fontId="30" fillId="2" borderId="37" xfId="0" applyFont="1" applyFill="1" applyBorder="1" applyAlignment="1" applyProtection="1">
      <alignment horizontal="center"/>
      <protection hidden="1"/>
    </xf>
    <xf numFmtId="0" fontId="30" fillId="2" borderId="38" xfId="0" applyFont="1" applyFill="1" applyBorder="1" applyAlignment="1" applyProtection="1">
      <alignment horizontal="center"/>
      <protection hidden="1"/>
    </xf>
    <xf numFmtId="0" fontId="30" fillId="0" borderId="38" xfId="0" applyFont="1" applyBorder="1" applyProtection="1">
      <protection hidden="1"/>
    </xf>
    <xf numFmtId="0" fontId="30" fillId="2" borderId="38" xfId="0" applyFont="1" applyFill="1" applyBorder="1" applyProtection="1">
      <protection hidden="1"/>
    </xf>
    <xf numFmtId="0" fontId="30" fillId="0" borderId="39" xfId="0" applyFont="1" applyBorder="1" applyProtection="1">
      <protection hidden="1"/>
    </xf>
    <xf numFmtId="0" fontId="30" fillId="6" borderId="30" xfId="0" applyFont="1" applyFill="1" applyBorder="1" applyAlignment="1" applyProtection="1">
      <alignment horizontal="center" vertical="center"/>
      <protection hidden="1"/>
    </xf>
    <xf numFmtId="169" fontId="30" fillId="5" borderId="9" xfId="0" applyNumberFormat="1" applyFont="1" applyFill="1" applyBorder="1" applyAlignment="1" applyProtection="1">
      <alignment horizontal="center" vertical="center"/>
      <protection locked="0" hidden="1"/>
    </xf>
    <xf numFmtId="0" fontId="30" fillId="6" borderId="9" xfId="0" applyFont="1" applyFill="1" applyBorder="1" applyAlignment="1" applyProtection="1">
      <alignment horizontal="center" wrapText="1"/>
      <protection hidden="1"/>
    </xf>
    <xf numFmtId="0" fontId="30" fillId="5" borderId="9" xfId="0" applyFont="1" applyFill="1" applyBorder="1" applyAlignment="1" applyProtection="1">
      <alignment horizontal="center" vertical="center" wrapText="1"/>
      <protection locked="0" hidden="1"/>
    </xf>
    <xf numFmtId="0" fontId="30" fillId="5" borderId="9" xfId="0" applyFont="1" applyFill="1" applyBorder="1" applyAlignment="1" applyProtection="1">
      <alignment horizontal="center" vertical="center"/>
      <protection locked="0" hidden="1"/>
    </xf>
    <xf numFmtId="0" fontId="30" fillId="2" borderId="40" xfId="0" applyFont="1" applyFill="1" applyBorder="1" applyAlignment="1" applyProtection="1">
      <alignment horizontal="center"/>
      <protection hidden="1"/>
    </xf>
    <xf numFmtId="0" fontId="30" fillId="2" borderId="41" xfId="0" applyFont="1" applyFill="1" applyBorder="1" applyAlignment="1" applyProtection="1">
      <alignment horizontal="center"/>
      <protection hidden="1"/>
    </xf>
    <xf numFmtId="169" fontId="30" fillId="2" borderId="41" xfId="0" applyNumberFormat="1" applyFont="1" applyFill="1" applyBorder="1" applyAlignment="1" applyProtection="1">
      <alignment horizontal="center"/>
      <protection hidden="1"/>
    </xf>
    <xf numFmtId="0" fontId="30" fillId="0" borderId="41" xfId="0" applyFont="1" applyBorder="1" applyProtection="1">
      <protection hidden="1"/>
    </xf>
    <xf numFmtId="0" fontId="30" fillId="0" borderId="35" xfId="0" applyFont="1" applyBorder="1" applyProtection="1">
      <protection hidden="1"/>
    </xf>
    <xf numFmtId="0" fontId="30" fillId="0" borderId="37" xfId="0" applyFont="1" applyBorder="1" applyAlignment="1" applyProtection="1">
      <alignment horizontal="center" vertical="center"/>
      <protection hidden="1"/>
    </xf>
    <xf numFmtId="0" fontId="30" fillId="0" borderId="0" xfId="0" applyFont="1" applyAlignment="1" applyProtection="1">
      <alignment horizontal="center"/>
      <protection hidden="1"/>
    </xf>
    <xf numFmtId="169" fontId="30" fillId="0" borderId="0" xfId="0" applyNumberFormat="1" applyFont="1" applyAlignment="1" applyProtection="1">
      <alignment horizontal="center"/>
      <protection hidden="1"/>
    </xf>
    <xf numFmtId="0" fontId="30" fillId="6" borderId="33" xfId="0" applyFont="1" applyFill="1" applyBorder="1" applyAlignment="1" applyProtection="1">
      <alignment horizontal="center" vertical="center"/>
      <protection hidden="1"/>
    </xf>
    <xf numFmtId="0" fontId="30" fillId="6" borderId="11" xfId="0" applyFont="1" applyFill="1" applyBorder="1" applyAlignment="1" applyProtection="1">
      <alignment vertical="center"/>
      <protection hidden="1"/>
    </xf>
    <xf numFmtId="0" fontId="30" fillId="6" borderId="9" xfId="0" applyFont="1" applyFill="1" applyBorder="1" applyAlignment="1" applyProtection="1">
      <alignment vertical="center"/>
      <protection hidden="1"/>
    </xf>
    <xf numFmtId="0" fontId="30" fillId="6" borderId="32" xfId="0" applyFont="1" applyFill="1" applyBorder="1" applyAlignment="1" applyProtection="1">
      <alignment vertical="center" wrapText="1"/>
      <protection hidden="1"/>
    </xf>
    <xf numFmtId="2" fontId="30" fillId="6" borderId="9" xfId="0" applyNumberFormat="1" applyFont="1" applyFill="1" applyBorder="1" applyAlignment="1" applyProtection="1">
      <alignment vertical="center"/>
      <protection hidden="1"/>
    </xf>
    <xf numFmtId="0" fontId="30" fillId="6" borderId="40" xfId="0" applyFont="1" applyFill="1" applyBorder="1" applyAlignment="1" applyProtection="1">
      <alignment horizontal="center" vertical="center"/>
      <protection hidden="1"/>
    </xf>
    <xf numFmtId="2" fontId="30" fillId="6" borderId="41" xfId="0" applyNumberFormat="1" applyFont="1" applyFill="1" applyBorder="1" applyAlignment="1" applyProtection="1">
      <alignment vertical="center"/>
      <protection hidden="1"/>
    </xf>
    <xf numFmtId="0" fontId="30" fillId="6" borderId="41" xfId="0" applyFont="1" applyFill="1" applyBorder="1" applyAlignment="1" applyProtection="1">
      <alignment vertical="center"/>
      <protection hidden="1"/>
    </xf>
    <xf numFmtId="0" fontId="30" fillId="6" borderId="52" xfId="0" applyFont="1" applyFill="1" applyBorder="1" applyAlignment="1" applyProtection="1">
      <alignment vertical="center"/>
      <protection hidden="1"/>
    </xf>
    <xf numFmtId="0" fontId="30" fillId="6" borderId="35" xfId="0" applyFont="1" applyFill="1" applyBorder="1" applyAlignment="1" applyProtection="1">
      <alignment vertical="center" wrapText="1"/>
      <protection hidden="1"/>
    </xf>
    <xf numFmtId="0" fontId="30" fillId="2" borderId="38" xfId="0" applyFont="1" applyFill="1" applyBorder="1" applyAlignment="1" applyProtection="1">
      <alignment horizontal="center" vertical="center" wrapText="1"/>
      <protection hidden="1"/>
    </xf>
    <xf numFmtId="2" fontId="41" fillId="17" borderId="1" xfId="6" applyNumberFormat="1" applyFont="1" applyBorder="1" applyAlignment="1" applyProtection="1">
      <alignment horizontal="center" vertical="center"/>
      <protection locked="0" hidden="1"/>
    </xf>
    <xf numFmtId="10" fontId="41" fillId="17" borderId="1" xfId="6" applyNumberFormat="1" applyFont="1" applyBorder="1" applyAlignment="1" applyProtection="1">
      <alignment horizontal="center" vertical="center"/>
      <protection locked="0" hidden="1"/>
    </xf>
    <xf numFmtId="1" fontId="41" fillId="17" borderId="1" xfId="6" applyNumberFormat="1" applyFont="1" applyBorder="1" applyAlignment="1" applyProtection="1">
      <alignment horizontal="center" vertical="center"/>
      <protection locked="0" hidden="1"/>
    </xf>
    <xf numFmtId="0" fontId="30" fillId="2" borderId="39" xfId="0" applyFont="1" applyFill="1" applyBorder="1" applyAlignment="1" applyProtection="1">
      <alignment horizontal="center" vertical="center" wrapText="1"/>
      <protection hidden="1"/>
    </xf>
    <xf numFmtId="1" fontId="30" fillId="5" borderId="9" xfId="0" applyNumberFormat="1" applyFont="1" applyFill="1" applyBorder="1" applyAlignment="1" applyProtection="1">
      <alignment horizontal="center" vertical="center" wrapText="1"/>
      <protection locked="0" hidden="1"/>
    </xf>
    <xf numFmtId="49" fontId="30" fillId="5" borderId="9" xfId="0" applyNumberFormat="1" applyFont="1" applyFill="1" applyBorder="1" applyAlignment="1" applyProtection="1">
      <alignment horizontal="center" vertical="center" wrapText="1"/>
      <protection locked="0" hidden="1"/>
    </xf>
    <xf numFmtId="171" fontId="30" fillId="6" borderId="9" xfId="0" applyNumberFormat="1" applyFont="1" applyFill="1" applyBorder="1" applyAlignment="1" applyProtection="1">
      <alignment horizontal="center" vertical="center" wrapText="1"/>
      <protection hidden="1"/>
    </xf>
    <xf numFmtId="2" fontId="30" fillId="6" borderId="12" xfId="0" applyNumberFormat="1" applyFont="1" applyFill="1" applyBorder="1" applyAlignment="1" applyProtection="1">
      <alignment horizontal="center" vertical="center" wrapText="1"/>
      <protection hidden="1"/>
    </xf>
    <xf numFmtId="166" fontId="30" fillId="6" borderId="9" xfId="0" applyNumberFormat="1" applyFont="1" applyFill="1" applyBorder="1" applyAlignment="1" applyProtection="1">
      <alignment horizontal="center" vertical="center" wrapText="1"/>
      <protection hidden="1"/>
    </xf>
    <xf numFmtId="0" fontId="30" fillId="2" borderId="52" xfId="0" applyFont="1" applyFill="1" applyBorder="1" applyAlignment="1" applyProtection="1">
      <alignment horizontal="center"/>
      <protection hidden="1"/>
    </xf>
    <xf numFmtId="0" fontId="30" fillId="14" borderId="68" xfId="0" applyFont="1" applyFill="1" applyBorder="1" applyAlignment="1" applyProtection="1">
      <alignment horizontal="center" vertical="center"/>
      <protection hidden="1"/>
    </xf>
    <xf numFmtId="0" fontId="30" fillId="2" borderId="54" xfId="0" applyFont="1" applyFill="1" applyBorder="1" applyAlignment="1" applyProtection="1">
      <alignment horizontal="center"/>
      <protection hidden="1"/>
    </xf>
    <xf numFmtId="0" fontId="30" fillId="2" borderId="35" xfId="0" applyFont="1" applyFill="1" applyBorder="1" applyAlignment="1" applyProtection="1">
      <alignment horizontal="center"/>
      <protection hidden="1"/>
    </xf>
    <xf numFmtId="2" fontId="30" fillId="5" borderId="65" xfId="0" applyNumberFormat="1" applyFont="1" applyFill="1" applyBorder="1" applyAlignment="1" applyProtection="1">
      <alignment horizontal="center" vertical="center"/>
      <protection locked="0" hidden="1"/>
    </xf>
    <xf numFmtId="2" fontId="30" fillId="5" borderId="63" xfId="0" applyNumberFormat="1" applyFont="1" applyFill="1" applyBorder="1" applyAlignment="1" applyProtection="1">
      <alignment horizontal="center" vertical="center"/>
      <protection locked="0" hidden="1"/>
    </xf>
    <xf numFmtId="2" fontId="30" fillId="5" borderId="66" xfId="0" applyNumberFormat="1" applyFont="1" applyFill="1" applyBorder="1" applyAlignment="1" applyProtection="1">
      <alignment horizontal="center" vertical="center"/>
      <protection locked="0" hidden="1"/>
    </xf>
    <xf numFmtId="0" fontId="30" fillId="0" borderId="10" xfId="0" applyFont="1" applyBorder="1" applyProtection="1">
      <protection hidden="1"/>
    </xf>
    <xf numFmtId="0" fontId="30" fillId="0" borderId="6" xfId="0" applyFont="1" applyBorder="1" applyProtection="1">
      <protection hidden="1"/>
    </xf>
    <xf numFmtId="0" fontId="30" fillId="0" borderId="7" xfId="0" applyFont="1" applyBorder="1" applyProtection="1">
      <protection hidden="1"/>
    </xf>
    <xf numFmtId="169" fontId="30" fillId="0" borderId="7" xfId="0" applyNumberFormat="1" applyFont="1" applyBorder="1" applyProtection="1">
      <protection hidden="1"/>
    </xf>
    <xf numFmtId="0" fontId="30" fillId="0" borderId="8" xfId="0" applyFont="1" applyBorder="1" applyProtection="1">
      <protection hidden="1"/>
    </xf>
    <xf numFmtId="0" fontId="12" fillId="6" borderId="37" xfId="0" applyFont="1" applyFill="1" applyBorder="1" applyAlignment="1" applyProtection="1">
      <alignment horizontal="center" vertical="center" wrapText="1"/>
      <protection hidden="1"/>
    </xf>
    <xf numFmtId="165" fontId="30" fillId="6" borderId="38" xfId="0" applyNumberFormat="1" applyFont="1" applyFill="1" applyBorder="1" applyAlignment="1" applyProtection="1">
      <alignment horizontal="center" vertical="center" wrapText="1"/>
      <protection hidden="1"/>
    </xf>
    <xf numFmtId="171" fontId="30" fillId="6" borderId="39" xfId="0" applyNumberFormat="1" applyFont="1" applyFill="1" applyBorder="1" applyAlignment="1" applyProtection="1">
      <alignment horizontal="center" vertical="center" wrapText="1"/>
      <protection hidden="1"/>
    </xf>
    <xf numFmtId="0" fontId="12" fillId="6" borderId="40" xfId="0" applyFont="1" applyFill="1" applyBorder="1" applyAlignment="1" applyProtection="1">
      <alignment horizontal="center" vertical="center" wrapText="1"/>
      <protection hidden="1"/>
    </xf>
    <xf numFmtId="14" fontId="30" fillId="6" borderId="41" xfId="0" applyNumberFormat="1" applyFont="1" applyFill="1" applyBorder="1" applyAlignment="1" applyProtection="1">
      <alignment horizontal="center" vertical="center" wrapText="1"/>
      <protection hidden="1"/>
    </xf>
    <xf numFmtId="2" fontId="30" fillId="6" borderId="41" xfId="0" applyNumberFormat="1" applyFont="1" applyFill="1" applyBorder="1" applyAlignment="1" applyProtection="1">
      <alignment horizontal="center" vertical="center" wrapText="1"/>
      <protection hidden="1"/>
    </xf>
    <xf numFmtId="166" fontId="30" fillId="5" borderId="41" xfId="0" applyNumberFormat="1" applyFont="1" applyFill="1" applyBorder="1" applyAlignment="1" applyProtection="1">
      <alignment horizontal="center" vertical="center" wrapText="1"/>
      <protection hidden="1"/>
    </xf>
    <xf numFmtId="171" fontId="30" fillId="6" borderId="35" xfId="0" applyNumberFormat="1" applyFont="1" applyFill="1" applyBorder="1" applyAlignment="1" applyProtection="1">
      <alignment horizontal="center" vertical="center" wrapText="1"/>
      <protection hidden="1"/>
    </xf>
    <xf numFmtId="169" fontId="12" fillId="4" borderId="21" xfId="0" applyNumberFormat="1" applyFont="1" applyFill="1" applyBorder="1" applyAlignment="1" applyProtection="1">
      <alignment horizontal="center" vertical="center" wrapText="1"/>
      <protection hidden="1"/>
    </xf>
    <xf numFmtId="0" fontId="12" fillId="4" borderId="19" xfId="0" applyFont="1" applyFill="1" applyBorder="1" applyAlignment="1" applyProtection="1">
      <alignment horizontal="center" vertical="center"/>
      <protection hidden="1"/>
    </xf>
    <xf numFmtId="0" fontId="30" fillId="0" borderId="2" xfId="0" applyFont="1" applyBorder="1" applyProtection="1">
      <protection hidden="1"/>
    </xf>
    <xf numFmtId="0" fontId="30" fillId="0" borderId="3" xfId="0" applyFont="1" applyBorder="1" applyProtection="1">
      <protection hidden="1"/>
    </xf>
    <xf numFmtId="0" fontId="30" fillId="0" borderId="3" xfId="0" applyFont="1" applyBorder="1" applyAlignment="1" applyProtection="1">
      <alignment horizontal="center" vertical="center"/>
      <protection hidden="1"/>
    </xf>
    <xf numFmtId="169" fontId="30" fillId="0" borderId="3" xfId="0" applyNumberFormat="1" applyFont="1" applyBorder="1" applyProtection="1">
      <protection hidden="1"/>
    </xf>
    <xf numFmtId="0" fontId="30" fillId="0" borderId="4" xfId="0" applyFont="1" applyBorder="1" applyAlignment="1" applyProtection="1">
      <alignment horizontal="center" vertical="center"/>
      <protection hidden="1"/>
    </xf>
    <xf numFmtId="0" fontId="12" fillId="6" borderId="37" xfId="0" applyFont="1" applyFill="1" applyBorder="1" applyAlignment="1" applyProtection="1">
      <alignment horizontal="center" vertical="center"/>
      <protection hidden="1"/>
    </xf>
    <xf numFmtId="2" fontId="30" fillId="5" borderId="38" xfId="0" applyNumberFormat="1" applyFont="1" applyFill="1" applyBorder="1" applyAlignment="1" applyProtection="1">
      <alignment horizontal="center" vertical="center"/>
      <protection hidden="1"/>
    </xf>
    <xf numFmtId="165" fontId="30" fillId="5" borderId="38" xfId="0" applyNumberFormat="1" applyFont="1" applyFill="1" applyBorder="1" applyAlignment="1" applyProtection="1">
      <alignment horizontal="center" vertical="center"/>
      <protection hidden="1"/>
    </xf>
    <xf numFmtId="0" fontId="41" fillId="0" borderId="0" xfId="0" applyFont="1" applyAlignment="1" applyProtection="1">
      <alignment horizontal="center" vertical="center" wrapText="1"/>
      <protection hidden="1"/>
    </xf>
    <xf numFmtId="0" fontId="12" fillId="6" borderId="40" xfId="0" applyFont="1" applyFill="1" applyBorder="1" applyAlignment="1" applyProtection="1">
      <alignment horizontal="center" vertical="center"/>
      <protection hidden="1"/>
    </xf>
    <xf numFmtId="2" fontId="30" fillId="5" borderId="41" xfId="0" applyNumberFormat="1" applyFont="1" applyFill="1" applyBorder="1" applyAlignment="1" applyProtection="1">
      <alignment horizontal="center" vertical="center"/>
      <protection hidden="1"/>
    </xf>
    <xf numFmtId="165" fontId="30" fillId="5" borderId="41" xfId="0" applyNumberFormat="1" applyFont="1" applyFill="1" applyBorder="1" applyAlignment="1" applyProtection="1">
      <alignment horizontal="center" vertical="center"/>
      <protection hidden="1"/>
    </xf>
    <xf numFmtId="0" fontId="30" fillId="0" borderId="3" xfId="0" applyFont="1" applyBorder="1" applyAlignment="1" applyProtection="1">
      <alignment vertical="center" textRotation="90" wrapText="1"/>
      <protection hidden="1"/>
    </xf>
    <xf numFmtId="2" fontId="30" fillId="0" borderId="0" xfId="0" applyNumberFormat="1" applyFont="1" applyAlignment="1" applyProtection="1">
      <alignment horizontal="center" vertical="center"/>
      <protection hidden="1"/>
    </xf>
    <xf numFmtId="2" fontId="30" fillId="0" borderId="0" xfId="0" applyNumberFormat="1" applyFont="1" applyProtection="1">
      <protection hidden="1"/>
    </xf>
    <xf numFmtId="0" fontId="12" fillId="0" borderId="0" xfId="0" applyFont="1" applyAlignment="1" applyProtection="1">
      <alignment horizontal="center" vertical="center"/>
      <protection hidden="1"/>
    </xf>
    <xf numFmtId="0" fontId="12" fillId="4" borderId="42" xfId="0" applyFont="1" applyFill="1" applyBorder="1" applyAlignment="1" applyProtection="1">
      <alignment horizontal="center" vertical="center" wrapText="1"/>
      <protection hidden="1"/>
    </xf>
    <xf numFmtId="0" fontId="12" fillId="4" borderId="50" xfId="0" applyFont="1" applyFill="1" applyBorder="1" applyAlignment="1" applyProtection="1">
      <alignment horizontal="center" vertical="center" wrapText="1"/>
      <protection hidden="1"/>
    </xf>
    <xf numFmtId="169" fontId="12" fillId="4" borderId="50" xfId="0" applyNumberFormat="1" applyFont="1" applyFill="1" applyBorder="1" applyAlignment="1" applyProtection="1">
      <alignment horizontal="center" vertical="center" wrapText="1"/>
      <protection hidden="1"/>
    </xf>
    <xf numFmtId="0" fontId="30" fillId="4" borderId="75" xfId="0" applyFont="1" applyFill="1" applyBorder="1" applyAlignment="1" applyProtection="1">
      <alignment horizontal="center" vertical="center"/>
      <protection hidden="1"/>
    </xf>
    <xf numFmtId="169" fontId="30" fillId="0" borderId="0" xfId="0" applyNumberFormat="1" applyFont="1" applyAlignment="1" applyProtection="1">
      <alignment horizontal="center" vertical="center"/>
      <protection hidden="1"/>
    </xf>
    <xf numFmtId="2" fontId="30" fillId="6" borderId="38" xfId="0" applyNumberFormat="1" applyFont="1" applyFill="1" applyBorder="1" applyAlignment="1" applyProtection="1">
      <alignment horizontal="center" vertical="center"/>
      <protection hidden="1"/>
    </xf>
    <xf numFmtId="165" fontId="30" fillId="6" borderId="38" xfId="0" applyNumberFormat="1" applyFont="1" applyFill="1" applyBorder="1" applyAlignment="1" applyProtection="1">
      <alignment horizontal="center" vertical="center"/>
      <protection hidden="1"/>
    </xf>
    <xf numFmtId="166" fontId="30" fillId="5" borderId="38" xfId="0" applyNumberFormat="1" applyFont="1" applyFill="1" applyBorder="1" applyAlignment="1" applyProtection="1">
      <alignment horizontal="center" vertical="center"/>
      <protection hidden="1"/>
    </xf>
    <xf numFmtId="2" fontId="30" fillId="6" borderId="9" xfId="0" applyNumberFormat="1" applyFont="1" applyFill="1" applyBorder="1" applyAlignment="1" applyProtection="1">
      <alignment horizontal="center" vertical="center"/>
      <protection hidden="1"/>
    </xf>
    <xf numFmtId="165" fontId="30" fillId="6" borderId="9" xfId="0" applyNumberFormat="1" applyFont="1" applyFill="1" applyBorder="1" applyAlignment="1" applyProtection="1">
      <alignment horizontal="center" vertical="center"/>
      <protection hidden="1"/>
    </xf>
    <xf numFmtId="165" fontId="12" fillId="6" borderId="9" xfId="0" applyNumberFormat="1" applyFont="1" applyFill="1" applyBorder="1" applyAlignment="1" applyProtection="1">
      <alignment horizontal="center" vertical="center"/>
      <protection hidden="1"/>
    </xf>
    <xf numFmtId="2" fontId="30" fillId="6" borderId="41" xfId="0" applyNumberFormat="1" applyFont="1" applyFill="1" applyBorder="1" applyAlignment="1" applyProtection="1">
      <alignment horizontal="center" vertical="center"/>
      <protection hidden="1"/>
    </xf>
    <xf numFmtId="165" fontId="30" fillId="6" borderId="41" xfId="0" applyNumberFormat="1" applyFont="1" applyFill="1" applyBorder="1" applyAlignment="1" applyProtection="1">
      <alignment horizontal="center" vertical="center"/>
      <protection hidden="1"/>
    </xf>
    <xf numFmtId="1" fontId="30" fillId="0" borderId="0" xfId="0" applyNumberFormat="1" applyFont="1" applyAlignment="1" applyProtection="1">
      <alignment vertical="center" wrapText="1"/>
      <protection hidden="1"/>
    </xf>
    <xf numFmtId="0" fontId="30" fillId="0" borderId="46" xfId="0" applyFont="1" applyBorder="1" applyProtection="1">
      <protection hidden="1"/>
    </xf>
    <xf numFmtId="0" fontId="30" fillId="6" borderId="37" xfId="0" applyFont="1" applyFill="1" applyBorder="1" applyAlignment="1" applyProtection="1">
      <alignment horizontal="center" vertical="center" wrapText="1"/>
      <protection hidden="1"/>
    </xf>
    <xf numFmtId="1" fontId="30" fillId="6" borderId="65" xfId="0" applyNumberFormat="1" applyFont="1" applyFill="1" applyBorder="1" applyAlignment="1" applyProtection="1">
      <alignment vertical="center" wrapText="1"/>
      <protection hidden="1"/>
    </xf>
    <xf numFmtId="2" fontId="30" fillId="5" borderId="45" xfId="0" applyNumberFormat="1" applyFont="1" applyFill="1" applyBorder="1" applyAlignment="1" applyProtection="1">
      <alignment horizontal="center" vertical="center"/>
      <protection hidden="1"/>
    </xf>
    <xf numFmtId="0" fontId="30" fillId="6" borderId="30" xfId="0" applyFont="1" applyFill="1" applyBorder="1" applyAlignment="1" applyProtection="1">
      <alignment horizontal="center" vertical="center" wrapText="1"/>
      <protection hidden="1"/>
    </xf>
    <xf numFmtId="1" fontId="30" fillId="6" borderId="63" xfId="0" applyNumberFormat="1" applyFont="1" applyFill="1" applyBorder="1" applyAlignment="1" applyProtection="1">
      <alignment vertical="center" wrapText="1"/>
      <protection hidden="1"/>
    </xf>
    <xf numFmtId="2" fontId="30" fillId="5" borderId="14" xfId="0" applyNumberFormat="1" applyFont="1" applyFill="1" applyBorder="1" applyAlignment="1" applyProtection="1">
      <alignment horizontal="center" vertical="center"/>
      <protection hidden="1"/>
    </xf>
    <xf numFmtId="0" fontId="30" fillId="6" borderId="40" xfId="0" applyFont="1" applyFill="1" applyBorder="1" applyAlignment="1" applyProtection="1">
      <alignment horizontal="center" vertical="center" wrapText="1"/>
      <protection hidden="1"/>
    </xf>
    <xf numFmtId="1" fontId="30" fillId="6" borderId="66" xfId="0" applyNumberFormat="1" applyFont="1" applyFill="1" applyBorder="1" applyAlignment="1" applyProtection="1">
      <alignment vertical="center" wrapText="1"/>
      <protection hidden="1"/>
    </xf>
    <xf numFmtId="2" fontId="30" fillId="5" borderId="54" xfId="0" applyNumberFormat="1" applyFont="1" applyFill="1" applyBorder="1" applyAlignment="1" applyProtection="1">
      <alignment horizontal="center" vertical="center"/>
      <protection hidden="1"/>
    </xf>
    <xf numFmtId="2" fontId="30" fillId="5" borderId="9" xfId="0" applyNumberFormat="1" applyFont="1" applyFill="1" applyBorder="1" applyAlignment="1" applyProtection="1">
      <alignment horizontal="center" vertical="center"/>
      <protection hidden="1"/>
    </xf>
    <xf numFmtId="166" fontId="30" fillId="0" borderId="0" xfId="0" applyNumberFormat="1" applyFont="1" applyProtection="1">
      <protection hidden="1"/>
    </xf>
    <xf numFmtId="0" fontId="30" fillId="2" borderId="6" xfId="0" applyFont="1" applyFill="1" applyBorder="1" applyProtection="1">
      <protection hidden="1"/>
    </xf>
    <xf numFmtId="0" fontId="30" fillId="2" borderId="7" xfId="0" applyFont="1" applyFill="1" applyBorder="1" applyProtection="1">
      <protection hidden="1"/>
    </xf>
    <xf numFmtId="0" fontId="30" fillId="2" borderId="3" xfId="0" applyFont="1" applyFill="1" applyBorder="1" applyProtection="1">
      <protection hidden="1"/>
    </xf>
    <xf numFmtId="0" fontId="30" fillId="2" borderId="7" xfId="0" applyFont="1" applyFill="1" applyBorder="1" applyAlignment="1" applyProtection="1">
      <alignment horizontal="center" vertical="center"/>
      <protection hidden="1"/>
    </xf>
    <xf numFmtId="0" fontId="30" fillId="2" borderId="3" xfId="0" applyFont="1" applyFill="1" applyBorder="1" applyAlignment="1" applyProtection="1">
      <alignment horizontal="center" vertical="center"/>
      <protection hidden="1"/>
    </xf>
    <xf numFmtId="169" fontId="30" fillId="2" borderId="3" xfId="0" applyNumberFormat="1" applyFont="1" applyFill="1" applyBorder="1" applyAlignment="1" applyProtection="1">
      <alignment horizontal="center" vertical="center"/>
      <protection hidden="1"/>
    </xf>
    <xf numFmtId="0" fontId="30" fillId="2" borderId="4" xfId="0" applyFont="1" applyFill="1" applyBorder="1" applyProtection="1">
      <protection hidden="1"/>
    </xf>
    <xf numFmtId="0" fontId="30" fillId="0" borderId="10" xfId="0" applyFont="1" applyBorder="1" applyAlignment="1" applyProtection="1">
      <alignment horizontal="center"/>
      <protection hidden="1"/>
    </xf>
    <xf numFmtId="0" fontId="30" fillId="2" borderId="3" xfId="0" applyFont="1" applyFill="1" applyBorder="1" applyAlignment="1" applyProtection="1">
      <alignment vertical="center" textRotation="90"/>
      <protection hidden="1"/>
    </xf>
    <xf numFmtId="0" fontId="30" fillId="2" borderId="0" xfId="0" applyFont="1" applyFill="1" applyAlignment="1" applyProtection="1">
      <alignment horizontal="center" vertical="center"/>
      <protection hidden="1"/>
    </xf>
    <xf numFmtId="0" fontId="30" fillId="0" borderId="3" xfId="0" applyFont="1" applyBorder="1" applyAlignment="1" applyProtection="1">
      <alignment horizontal="center" vertical="center" wrapText="1"/>
      <protection hidden="1"/>
    </xf>
    <xf numFmtId="0" fontId="30" fillId="0" borderId="44" xfId="0" applyFont="1" applyBorder="1" applyProtection="1">
      <protection hidden="1"/>
    </xf>
    <xf numFmtId="0" fontId="30" fillId="2" borderId="5" xfId="0" applyFont="1" applyFill="1" applyBorder="1" applyAlignment="1" applyProtection="1">
      <alignment vertical="center" textRotation="90"/>
      <protection hidden="1"/>
    </xf>
    <xf numFmtId="0" fontId="30" fillId="2" borderId="5" xfId="0" applyFont="1" applyFill="1" applyBorder="1" applyProtection="1">
      <protection hidden="1"/>
    </xf>
    <xf numFmtId="0" fontId="30" fillId="0" borderId="5" xfId="0" applyFont="1" applyBorder="1" applyAlignment="1" applyProtection="1">
      <alignment horizontal="center" vertical="center" wrapText="1"/>
      <protection hidden="1"/>
    </xf>
    <xf numFmtId="174" fontId="65" fillId="5" borderId="9" xfId="0" applyNumberFormat="1" applyFont="1" applyFill="1" applyBorder="1" applyAlignment="1" applyProtection="1">
      <alignment horizontal="center" vertical="center" wrapText="1"/>
      <protection hidden="1"/>
    </xf>
    <xf numFmtId="4" fontId="65" fillId="5" borderId="32" xfId="0" applyNumberFormat="1" applyFont="1" applyFill="1" applyBorder="1" applyAlignment="1" applyProtection="1">
      <alignment horizontal="center" vertical="center" wrapText="1"/>
      <protection hidden="1"/>
    </xf>
    <xf numFmtId="0" fontId="65" fillId="5" borderId="12" xfId="0" applyFont="1" applyFill="1" applyBorder="1" applyAlignment="1" applyProtection="1">
      <alignment horizontal="center" vertical="center" wrapText="1"/>
      <protection hidden="1"/>
    </xf>
    <xf numFmtId="0" fontId="65" fillId="5" borderId="12" xfId="0" applyFont="1" applyFill="1" applyBorder="1" applyAlignment="1" applyProtection="1">
      <alignment vertical="center" wrapText="1"/>
      <protection hidden="1"/>
    </xf>
    <xf numFmtId="0" fontId="65" fillId="5" borderId="57" xfId="0" applyFont="1" applyFill="1" applyBorder="1" applyAlignment="1" applyProtection="1">
      <alignment vertical="center" wrapText="1"/>
      <protection hidden="1"/>
    </xf>
    <xf numFmtId="0" fontId="30" fillId="0" borderId="44" xfId="0" applyFont="1" applyBorder="1" applyAlignment="1" applyProtection="1">
      <alignment horizontal="center"/>
      <protection hidden="1"/>
    </xf>
    <xf numFmtId="0" fontId="30" fillId="0" borderId="5" xfId="0" applyFont="1" applyBorder="1" applyAlignment="1" applyProtection="1">
      <alignment horizontal="center"/>
      <protection hidden="1"/>
    </xf>
    <xf numFmtId="0" fontId="30" fillId="0" borderId="36" xfId="0" applyFont="1" applyBorder="1" applyAlignment="1" applyProtection="1">
      <alignment horizontal="center"/>
      <protection hidden="1"/>
    </xf>
    <xf numFmtId="0" fontId="30" fillId="2" borderId="0" xfId="0" applyFont="1" applyFill="1" applyAlignment="1" applyProtection="1">
      <alignment vertical="center" textRotation="90"/>
      <protection hidden="1"/>
    </xf>
    <xf numFmtId="0" fontId="30" fillId="2" borderId="0" xfId="0" applyFont="1" applyFill="1" applyProtection="1">
      <protection hidden="1"/>
    </xf>
    <xf numFmtId="0" fontId="65" fillId="5" borderId="9" xfId="0" applyFont="1" applyFill="1" applyBorder="1" applyAlignment="1" applyProtection="1">
      <alignment horizontal="center" vertical="center" wrapText="1"/>
      <protection hidden="1"/>
    </xf>
    <xf numFmtId="0" fontId="65" fillId="5" borderId="32" xfId="0" applyFont="1" applyFill="1" applyBorder="1" applyAlignment="1" applyProtection="1">
      <alignment horizontal="center" vertical="center" wrapText="1"/>
      <protection hidden="1"/>
    </xf>
    <xf numFmtId="175" fontId="65" fillId="5" borderId="32" xfId="0" applyNumberFormat="1" applyFont="1" applyFill="1" applyBorder="1" applyAlignment="1" applyProtection="1">
      <alignment horizontal="center" vertical="center" wrapText="1"/>
      <protection hidden="1"/>
    </xf>
    <xf numFmtId="0" fontId="12" fillId="0" borderId="10" xfId="0" applyFont="1" applyBorder="1" applyAlignment="1" applyProtection="1">
      <alignment horizontal="center" vertical="center"/>
      <protection hidden="1"/>
    </xf>
    <xf numFmtId="0" fontId="65" fillId="0" borderId="0" xfId="0" applyFont="1" applyAlignment="1" applyProtection="1">
      <alignment vertical="center" wrapText="1"/>
      <protection hidden="1"/>
    </xf>
    <xf numFmtId="0" fontId="30" fillId="0" borderId="18" xfId="0" applyFont="1" applyBorder="1" applyAlignment="1" applyProtection="1">
      <alignment horizontal="center" vertical="center"/>
      <protection hidden="1"/>
    </xf>
    <xf numFmtId="0" fontId="30" fillId="0" borderId="21" xfId="0" applyFont="1" applyBorder="1" applyAlignment="1" applyProtection="1">
      <alignment horizontal="center" vertical="center"/>
      <protection hidden="1"/>
    </xf>
    <xf numFmtId="0" fontId="30" fillId="0" borderId="19" xfId="0" applyFont="1" applyBorder="1" applyAlignment="1" applyProtection="1">
      <alignment horizontal="center" vertical="center"/>
      <protection hidden="1"/>
    </xf>
    <xf numFmtId="165" fontId="30" fillId="5" borderId="17" xfId="0" applyNumberFormat="1" applyFont="1" applyFill="1" applyBorder="1" applyAlignment="1" applyProtection="1">
      <alignment horizontal="center" vertical="center" wrapText="1"/>
      <protection hidden="1"/>
    </xf>
    <xf numFmtId="165" fontId="30" fillId="5" borderId="34" xfId="0" applyNumberFormat="1" applyFont="1" applyFill="1" applyBorder="1" applyAlignment="1" applyProtection="1">
      <alignment horizontal="center" vertical="center" wrapText="1"/>
      <protection hidden="1"/>
    </xf>
    <xf numFmtId="2" fontId="30" fillId="5" borderId="41" xfId="0" applyNumberFormat="1" applyFont="1" applyFill="1" applyBorder="1" applyAlignment="1" applyProtection="1">
      <alignment horizontal="center" vertical="center" wrapText="1"/>
      <protection hidden="1"/>
    </xf>
    <xf numFmtId="165" fontId="30" fillId="5" borderId="50" xfId="0" applyNumberFormat="1" applyFont="1" applyFill="1" applyBorder="1" applyAlignment="1" applyProtection="1">
      <alignment horizontal="center" vertical="center" wrapText="1"/>
      <protection hidden="1"/>
    </xf>
    <xf numFmtId="165" fontId="30" fillId="5" borderId="75" xfId="0" applyNumberFormat="1" applyFont="1" applyFill="1" applyBorder="1" applyAlignment="1" applyProtection="1">
      <alignment horizontal="center" vertical="center" wrapText="1"/>
      <protection hidden="1"/>
    </xf>
    <xf numFmtId="0" fontId="30" fillId="0" borderId="2" xfId="0" applyFont="1" applyBorder="1" applyAlignment="1" applyProtection="1">
      <alignment horizontal="center" vertical="center"/>
      <protection hidden="1"/>
    </xf>
    <xf numFmtId="0" fontId="12" fillId="4" borderId="69" xfId="0" applyFont="1" applyFill="1" applyBorder="1" applyAlignment="1" applyProtection="1">
      <alignment horizontal="center" vertical="center" wrapText="1"/>
      <protection hidden="1"/>
    </xf>
    <xf numFmtId="0" fontId="12" fillId="4" borderId="64" xfId="0" applyFont="1" applyFill="1" applyBorder="1" applyAlignment="1" applyProtection="1">
      <alignment horizontal="center" vertical="center" wrapText="1"/>
      <protection hidden="1"/>
    </xf>
    <xf numFmtId="169" fontId="12" fillId="4" borderId="64" xfId="0" applyNumberFormat="1" applyFont="1" applyFill="1" applyBorder="1" applyAlignment="1" applyProtection="1">
      <alignment horizontal="center" vertical="center" wrapText="1"/>
      <protection hidden="1"/>
    </xf>
    <xf numFmtId="0" fontId="12" fillId="4" borderId="64" xfId="0" applyFont="1" applyFill="1" applyBorder="1" applyAlignment="1" applyProtection="1">
      <alignment horizontal="center" vertical="center"/>
      <protection hidden="1"/>
    </xf>
    <xf numFmtId="0" fontId="12" fillId="4" borderId="70" xfId="0" applyFont="1" applyFill="1" applyBorder="1" applyAlignment="1" applyProtection="1">
      <alignment horizontal="center" vertical="center" wrapText="1"/>
      <protection hidden="1"/>
    </xf>
    <xf numFmtId="0" fontId="30" fillId="0" borderId="6" xfId="0" applyFont="1" applyBorder="1" applyAlignment="1" applyProtection="1">
      <alignment horizontal="center" vertical="center"/>
      <protection hidden="1"/>
    </xf>
    <xf numFmtId="0" fontId="30" fillId="0" borderId="3" xfId="0" applyFont="1" applyBorder="1" applyAlignment="1" applyProtection="1">
      <alignment horizontal="center"/>
      <protection hidden="1"/>
    </xf>
    <xf numFmtId="169" fontId="30" fillId="6" borderId="9" xfId="0" applyNumberFormat="1" applyFont="1" applyFill="1" applyBorder="1" applyAlignment="1" applyProtection="1">
      <alignment horizontal="center" vertical="center" wrapText="1"/>
      <protection hidden="1"/>
    </xf>
    <xf numFmtId="164" fontId="30" fillId="5" borderId="38" xfId="0" applyNumberFormat="1" applyFont="1" applyFill="1" applyBorder="1" applyAlignment="1" applyProtection="1">
      <alignment horizontal="center" vertical="center" wrapText="1"/>
      <protection hidden="1"/>
    </xf>
    <xf numFmtId="164" fontId="30" fillId="5" borderId="39" xfId="0" applyNumberFormat="1" applyFont="1" applyFill="1" applyBorder="1" applyAlignment="1" applyProtection="1">
      <alignment horizontal="center" vertical="center" wrapText="1"/>
      <protection hidden="1"/>
    </xf>
    <xf numFmtId="14" fontId="30" fillId="6" borderId="9" xfId="0" applyNumberFormat="1" applyFont="1" applyFill="1" applyBorder="1" applyAlignment="1" applyProtection="1">
      <alignment horizontal="center" vertical="center" wrapText="1"/>
      <protection hidden="1"/>
    </xf>
    <xf numFmtId="166" fontId="30" fillId="5" borderId="9" xfId="0" applyNumberFormat="1" applyFont="1" applyFill="1" applyBorder="1" applyAlignment="1" applyProtection="1">
      <alignment horizontal="center" vertical="center" wrapText="1"/>
      <protection hidden="1"/>
    </xf>
    <xf numFmtId="164" fontId="30" fillId="5" borderId="9" xfId="0" applyNumberFormat="1" applyFont="1" applyFill="1" applyBorder="1" applyAlignment="1" applyProtection="1">
      <alignment horizontal="center" vertical="center" wrapText="1"/>
      <protection hidden="1"/>
    </xf>
    <xf numFmtId="164" fontId="30" fillId="5" borderId="32" xfId="0" applyNumberFormat="1" applyFont="1" applyFill="1" applyBorder="1" applyAlignment="1" applyProtection="1">
      <alignment horizontal="center" vertical="center" wrapText="1"/>
      <protection hidden="1"/>
    </xf>
    <xf numFmtId="0" fontId="30" fillId="0" borderId="30" xfId="0" applyFont="1" applyBorder="1" applyAlignment="1" applyProtection="1">
      <alignment horizontal="center" vertical="center" wrapText="1"/>
      <protection hidden="1"/>
    </xf>
    <xf numFmtId="0" fontId="30" fillId="0" borderId="9" xfId="0" applyFont="1" applyBorder="1" applyAlignment="1" applyProtection="1">
      <alignment horizontal="center" vertical="center" wrapText="1"/>
      <protection hidden="1"/>
    </xf>
    <xf numFmtId="0" fontId="30" fillId="0" borderId="32" xfId="0" applyFont="1" applyBorder="1" applyAlignment="1" applyProtection="1">
      <alignment horizontal="center" vertical="center" wrapText="1"/>
      <protection hidden="1"/>
    </xf>
    <xf numFmtId="0" fontId="30" fillId="6" borderId="28" xfId="0" applyFont="1" applyFill="1" applyBorder="1" applyAlignment="1" applyProtection="1">
      <alignment horizontal="center" vertical="center" wrapText="1"/>
      <protection hidden="1"/>
    </xf>
    <xf numFmtId="0" fontId="30" fillId="6" borderId="32" xfId="0" applyFont="1" applyFill="1" applyBorder="1" applyAlignment="1" applyProtection="1">
      <alignment horizontal="center" vertical="center" wrapText="1"/>
      <protection hidden="1"/>
    </xf>
    <xf numFmtId="166" fontId="30" fillId="6" borderId="32" xfId="0" applyNumberFormat="1" applyFont="1" applyFill="1" applyBorder="1" applyAlignment="1" applyProtection="1">
      <alignment horizontal="center" vertical="center" wrapText="1"/>
      <protection hidden="1"/>
    </xf>
    <xf numFmtId="169" fontId="30" fillId="6" borderId="41" xfId="0" applyNumberFormat="1" applyFont="1" applyFill="1" applyBorder="1" applyAlignment="1" applyProtection="1">
      <alignment horizontal="center" vertical="center" wrapText="1"/>
      <protection hidden="1"/>
    </xf>
    <xf numFmtId="164" fontId="30" fillId="5" borderId="41" xfId="0" applyNumberFormat="1" applyFont="1" applyFill="1" applyBorder="1" applyAlignment="1" applyProtection="1">
      <alignment horizontal="center" vertical="center" wrapText="1"/>
      <protection hidden="1"/>
    </xf>
    <xf numFmtId="0" fontId="30" fillId="6" borderId="35" xfId="0" applyFont="1" applyFill="1" applyBorder="1" applyAlignment="1" applyProtection="1">
      <alignment horizontal="center" vertical="center" wrapText="1"/>
      <protection hidden="1"/>
    </xf>
    <xf numFmtId="10" fontId="30" fillId="6" borderId="40" xfId="0" applyNumberFormat="1" applyFont="1" applyFill="1" applyBorder="1" applyAlignment="1" applyProtection="1">
      <alignment horizontal="center" vertical="center" wrapText="1"/>
      <protection hidden="1"/>
    </xf>
    <xf numFmtId="2" fontId="30" fillId="6" borderId="35" xfId="0" applyNumberFormat="1" applyFont="1" applyFill="1" applyBorder="1" applyAlignment="1" applyProtection="1">
      <alignment horizontal="center" vertical="center" wrapText="1"/>
      <protection hidden="1"/>
    </xf>
    <xf numFmtId="0" fontId="12" fillId="4" borderId="21" xfId="0" applyFont="1" applyFill="1" applyBorder="1" applyAlignment="1" applyProtection="1">
      <alignment horizontal="center" vertical="center"/>
      <protection hidden="1"/>
    </xf>
    <xf numFmtId="0" fontId="30" fillId="0" borderId="46" xfId="0" applyFont="1" applyBorder="1" applyAlignment="1" applyProtection="1">
      <alignment horizontal="center" vertical="center"/>
      <protection hidden="1"/>
    </xf>
    <xf numFmtId="169" fontId="30" fillId="6" borderId="38" xfId="0" applyNumberFormat="1" applyFont="1" applyFill="1" applyBorder="1" applyAlignment="1" applyProtection="1">
      <alignment horizontal="center" vertical="center" wrapText="1"/>
      <protection hidden="1"/>
    </xf>
    <xf numFmtId="14" fontId="30" fillId="6" borderId="38" xfId="0" applyNumberFormat="1" applyFont="1" applyFill="1" applyBorder="1" applyAlignment="1" applyProtection="1">
      <alignment horizontal="center" vertical="center" wrapText="1"/>
      <protection hidden="1"/>
    </xf>
    <xf numFmtId="164" fontId="30" fillId="6" borderId="38" xfId="0" applyNumberFormat="1" applyFont="1" applyFill="1" applyBorder="1" applyAlignment="1" applyProtection="1">
      <alignment horizontal="center" vertical="center" wrapText="1"/>
      <protection hidden="1"/>
    </xf>
    <xf numFmtId="164" fontId="30" fillId="6" borderId="39" xfId="0" applyNumberFormat="1" applyFont="1" applyFill="1" applyBorder="1" applyAlignment="1" applyProtection="1">
      <alignment horizontal="center" vertical="center" wrapText="1"/>
      <protection hidden="1"/>
    </xf>
    <xf numFmtId="1" fontId="30" fillId="0" borderId="0" xfId="0" applyNumberFormat="1" applyFont="1" applyProtection="1">
      <protection hidden="1"/>
    </xf>
    <xf numFmtId="164" fontId="30" fillId="6" borderId="32" xfId="0" applyNumberFormat="1" applyFont="1" applyFill="1" applyBorder="1" applyAlignment="1" applyProtection="1">
      <alignment horizontal="center" vertical="center" wrapText="1"/>
      <protection hidden="1"/>
    </xf>
    <xf numFmtId="164" fontId="30" fillId="6" borderId="41" xfId="0" applyNumberFormat="1" applyFont="1" applyFill="1" applyBorder="1" applyAlignment="1" applyProtection="1">
      <alignment horizontal="center" vertical="center" wrapText="1"/>
      <protection hidden="1"/>
    </xf>
    <xf numFmtId="164" fontId="30" fillId="6" borderId="35" xfId="0" applyNumberFormat="1" applyFont="1" applyFill="1" applyBorder="1" applyAlignment="1" applyProtection="1">
      <alignment horizontal="center" vertical="center" wrapText="1"/>
      <protection hidden="1"/>
    </xf>
    <xf numFmtId="164" fontId="30" fillId="0" borderId="0" xfId="0" applyNumberFormat="1" applyFont="1" applyAlignment="1" applyProtection="1">
      <alignment vertical="center"/>
      <protection hidden="1"/>
    </xf>
    <xf numFmtId="167" fontId="30" fillId="0" borderId="0" xfId="0" applyNumberFormat="1" applyFont="1" applyAlignment="1" applyProtection="1">
      <alignment horizontal="center" vertical="center"/>
      <protection hidden="1"/>
    </xf>
    <xf numFmtId="164" fontId="30" fillId="0" borderId="0" xfId="0" applyNumberFormat="1" applyFont="1" applyAlignment="1" applyProtection="1">
      <alignment horizontal="center" vertical="center"/>
      <protection hidden="1"/>
    </xf>
    <xf numFmtId="165" fontId="30" fillId="0" borderId="0" xfId="0" applyNumberFormat="1" applyFont="1" applyAlignment="1" applyProtection="1">
      <alignment horizontal="center" vertical="center"/>
      <protection hidden="1"/>
    </xf>
    <xf numFmtId="0" fontId="30" fillId="0" borderId="5" xfId="0" applyFont="1" applyBorder="1" applyAlignment="1" applyProtection="1">
      <alignment vertical="center"/>
      <protection hidden="1"/>
    </xf>
    <xf numFmtId="0" fontId="30" fillId="0" borderId="5" xfId="0" applyFont="1" applyBorder="1" applyAlignment="1" applyProtection="1">
      <alignment horizontal="center" vertical="center"/>
      <protection hidden="1"/>
    </xf>
    <xf numFmtId="169" fontId="30" fillId="0" borderId="5" xfId="0" applyNumberFormat="1" applyFont="1" applyBorder="1" applyAlignment="1" applyProtection="1">
      <alignment horizontal="center" vertical="center"/>
      <protection hidden="1"/>
    </xf>
    <xf numFmtId="0" fontId="30" fillId="0" borderId="36" xfId="0" applyFont="1" applyBorder="1" applyProtection="1">
      <protection hidden="1"/>
    </xf>
    <xf numFmtId="0" fontId="30" fillId="6" borderId="18" xfId="0" applyFont="1" applyFill="1" applyBorder="1" applyAlignment="1" applyProtection="1">
      <alignment horizontal="center" vertical="center"/>
      <protection hidden="1"/>
    </xf>
    <xf numFmtId="0" fontId="30" fillId="6" borderId="21" xfId="0" applyFont="1" applyFill="1" applyBorder="1" applyAlignment="1" applyProtection="1">
      <alignment horizontal="center" vertical="center" wrapText="1"/>
      <protection hidden="1"/>
    </xf>
    <xf numFmtId="171" fontId="30" fillId="6" borderId="21" xfId="0" applyNumberFormat="1" applyFont="1" applyFill="1" applyBorder="1" applyAlignment="1" applyProtection="1">
      <alignment horizontal="center" vertical="center" wrapText="1"/>
      <protection hidden="1"/>
    </xf>
    <xf numFmtId="11" fontId="30" fillId="6" borderId="21" xfId="0" applyNumberFormat="1" applyFont="1" applyFill="1" applyBorder="1" applyAlignment="1" applyProtection="1">
      <alignment horizontal="center" vertical="center" wrapText="1"/>
      <protection hidden="1"/>
    </xf>
    <xf numFmtId="169" fontId="30" fillId="6" borderId="26" xfId="0" applyNumberFormat="1" applyFont="1" applyFill="1" applyBorder="1" applyAlignment="1" applyProtection="1">
      <alignment horizontal="center" vertical="center" wrapText="1"/>
      <protection hidden="1"/>
    </xf>
    <xf numFmtId="14" fontId="30" fillId="6" borderId="1" xfId="0" applyNumberFormat="1" applyFont="1" applyFill="1" applyBorder="1" applyAlignment="1" applyProtection="1">
      <alignment horizontal="center" vertical="center" wrapText="1"/>
      <protection hidden="1"/>
    </xf>
    <xf numFmtId="0" fontId="30" fillId="0" borderId="0" xfId="0" applyFont="1" applyAlignment="1" applyProtection="1">
      <alignment vertical="center" textRotation="90"/>
      <protection hidden="1"/>
    </xf>
    <xf numFmtId="14" fontId="30" fillId="0" borderId="0" xfId="0" applyNumberFormat="1" applyFont="1" applyAlignment="1" applyProtection="1">
      <alignment horizontal="center" vertical="center"/>
      <protection hidden="1"/>
    </xf>
    <xf numFmtId="169" fontId="12" fillId="4" borderId="19" xfId="0" applyNumberFormat="1" applyFont="1" applyFill="1" applyBorder="1" applyAlignment="1" applyProtection="1">
      <alignment horizontal="center" vertical="center" wrapText="1"/>
      <protection hidden="1"/>
    </xf>
    <xf numFmtId="0" fontId="30" fillId="0" borderId="27" xfId="0" applyFont="1" applyBorder="1" applyProtection="1">
      <protection hidden="1"/>
    </xf>
    <xf numFmtId="169" fontId="30" fillId="0" borderId="3" xfId="0" applyNumberFormat="1" applyFont="1" applyBorder="1" applyAlignment="1" applyProtection="1">
      <alignment horizontal="center" vertical="center"/>
      <protection hidden="1"/>
    </xf>
    <xf numFmtId="0" fontId="30" fillId="0" borderId="4" xfId="0" applyFont="1" applyBorder="1" applyProtection="1">
      <protection hidden="1"/>
    </xf>
    <xf numFmtId="0" fontId="30" fillId="6" borderId="45" xfId="0" applyFont="1" applyFill="1" applyBorder="1" applyAlignment="1" applyProtection="1">
      <alignment horizontal="center" vertical="center" wrapText="1"/>
      <protection hidden="1"/>
    </xf>
    <xf numFmtId="2" fontId="30" fillId="5" borderId="38" xfId="0" applyNumberFormat="1" applyFont="1" applyFill="1" applyBorder="1" applyAlignment="1" applyProtection="1">
      <alignment horizontal="center" vertical="center" wrapText="1"/>
      <protection hidden="1"/>
    </xf>
    <xf numFmtId="14" fontId="30" fillId="5" borderId="39" xfId="0" applyNumberFormat="1" applyFont="1" applyFill="1" applyBorder="1" applyAlignment="1" applyProtection="1">
      <alignment horizontal="center" vertical="center"/>
      <protection hidden="1"/>
    </xf>
    <xf numFmtId="0" fontId="30" fillId="6" borderId="14" xfId="0" applyFont="1" applyFill="1" applyBorder="1" applyAlignment="1" applyProtection="1">
      <alignment horizontal="center" vertical="center" wrapText="1"/>
      <protection hidden="1"/>
    </xf>
    <xf numFmtId="165" fontId="30" fillId="5" borderId="9" xfId="0" applyNumberFormat="1" applyFont="1" applyFill="1" applyBorder="1" applyAlignment="1" applyProtection="1">
      <alignment horizontal="center" vertical="center" wrapText="1"/>
      <protection hidden="1"/>
    </xf>
    <xf numFmtId="14" fontId="30" fillId="5" borderId="32" xfId="0" applyNumberFormat="1" applyFont="1" applyFill="1" applyBorder="1" applyAlignment="1" applyProtection="1">
      <alignment horizontal="center" vertical="center"/>
      <protection hidden="1"/>
    </xf>
    <xf numFmtId="0" fontId="30" fillId="6" borderId="54" xfId="0" applyFont="1" applyFill="1" applyBorder="1" applyAlignment="1" applyProtection="1">
      <alignment horizontal="center" vertical="center" wrapText="1"/>
      <protection hidden="1"/>
    </xf>
    <xf numFmtId="165" fontId="30" fillId="5" borderId="41" xfId="0" applyNumberFormat="1" applyFont="1" applyFill="1" applyBorder="1" applyAlignment="1" applyProtection="1">
      <alignment horizontal="center" vertical="center" wrapText="1"/>
      <protection hidden="1"/>
    </xf>
    <xf numFmtId="14" fontId="30" fillId="5" borderId="35" xfId="0" applyNumberFormat="1" applyFont="1" applyFill="1" applyBorder="1" applyAlignment="1" applyProtection="1">
      <alignment horizontal="center" vertical="center"/>
      <protection hidden="1"/>
    </xf>
    <xf numFmtId="2" fontId="30" fillId="2" borderId="0" xfId="0" applyNumberFormat="1" applyFont="1" applyFill="1" applyAlignment="1" applyProtection="1">
      <alignment horizontal="center" vertical="center"/>
      <protection hidden="1"/>
    </xf>
    <xf numFmtId="169" fontId="30" fillId="2" borderId="0" xfId="0" applyNumberFormat="1" applyFont="1" applyFill="1" applyAlignment="1" applyProtection="1">
      <alignment horizontal="center" vertical="center"/>
      <protection hidden="1"/>
    </xf>
    <xf numFmtId="164" fontId="30" fillId="0" borderId="0" xfId="0" applyNumberFormat="1" applyFont="1" applyAlignment="1" applyProtection="1">
      <alignment horizontal="center"/>
      <protection hidden="1"/>
    </xf>
    <xf numFmtId="0" fontId="30" fillId="4" borderId="75" xfId="0" applyFont="1" applyFill="1" applyBorder="1" applyAlignment="1" applyProtection="1">
      <alignment horizontal="center" vertical="center" wrapText="1"/>
      <protection hidden="1"/>
    </xf>
    <xf numFmtId="11" fontId="30" fillId="6" borderId="37" xfId="0" applyNumberFormat="1" applyFont="1" applyFill="1" applyBorder="1" applyAlignment="1" applyProtection="1">
      <alignment horizontal="center" vertical="center"/>
      <protection hidden="1"/>
    </xf>
    <xf numFmtId="164" fontId="30" fillId="6" borderId="38" xfId="0" applyNumberFormat="1" applyFont="1" applyFill="1" applyBorder="1" applyAlignment="1" applyProtection="1">
      <alignment horizontal="center" vertical="center"/>
      <protection hidden="1"/>
    </xf>
    <xf numFmtId="168" fontId="12" fillId="6" borderId="30" xfId="0" applyNumberFormat="1" applyFont="1" applyFill="1" applyBorder="1" applyAlignment="1" applyProtection="1">
      <alignment horizontal="center" vertical="center"/>
      <protection hidden="1"/>
    </xf>
    <xf numFmtId="168" fontId="30" fillId="0" borderId="9" xfId="0" applyNumberFormat="1" applyFont="1" applyBorder="1" applyAlignment="1" applyProtection="1">
      <alignment horizontal="center" vertical="center"/>
      <protection hidden="1"/>
    </xf>
    <xf numFmtId="181" fontId="30" fillId="0" borderId="0" xfId="0" applyNumberFormat="1" applyFont="1" applyAlignment="1" applyProtection="1">
      <alignment horizontal="center"/>
      <protection hidden="1"/>
    </xf>
    <xf numFmtId="0" fontId="30" fillId="0" borderId="9" xfId="0" applyFont="1" applyBorder="1" applyAlignment="1" applyProtection="1">
      <alignment horizontal="center" vertical="center"/>
      <protection hidden="1"/>
    </xf>
    <xf numFmtId="2" fontId="30" fillId="0" borderId="0" xfId="0" applyNumberFormat="1" applyFont="1" applyAlignment="1" applyProtection="1">
      <alignment horizontal="center"/>
      <protection hidden="1"/>
    </xf>
    <xf numFmtId="1" fontId="30" fillId="0" borderId="0" xfId="0" applyNumberFormat="1" applyFont="1" applyAlignment="1" applyProtection="1">
      <alignment horizontal="center"/>
      <protection hidden="1"/>
    </xf>
    <xf numFmtId="181" fontId="30" fillId="0" borderId="0" xfId="0" applyNumberFormat="1" applyFont="1" applyAlignment="1" applyProtection="1">
      <alignment horizontal="center" vertical="center"/>
      <protection hidden="1"/>
    </xf>
    <xf numFmtId="0" fontId="30" fillId="4" borderId="19" xfId="0" applyFont="1" applyFill="1" applyBorder="1" applyAlignment="1" applyProtection="1">
      <alignment horizontal="center" vertical="center"/>
      <protection hidden="1"/>
    </xf>
    <xf numFmtId="0" fontId="71" fillId="6" borderId="38" xfId="0" applyFont="1" applyFill="1" applyBorder="1" applyAlignment="1" applyProtection="1">
      <alignment horizontal="center" vertical="center" wrapText="1"/>
      <protection hidden="1"/>
    </xf>
    <xf numFmtId="14" fontId="30" fillId="5" borderId="64" xfId="0" applyNumberFormat="1" applyFont="1" applyFill="1" applyBorder="1" applyAlignment="1" applyProtection="1">
      <alignment horizontal="center" vertical="center"/>
      <protection hidden="1"/>
    </xf>
    <xf numFmtId="177" fontId="30" fillId="6" borderId="38" xfId="0" applyNumberFormat="1" applyFont="1" applyFill="1" applyBorder="1" applyAlignment="1" applyProtection="1">
      <alignment horizontal="center" vertical="center"/>
      <protection hidden="1"/>
    </xf>
    <xf numFmtId="1" fontId="30" fillId="6" borderId="41" xfId="0" applyNumberFormat="1" applyFont="1" applyFill="1" applyBorder="1" applyAlignment="1" applyProtection="1">
      <alignment vertical="center" wrapText="1"/>
      <protection hidden="1"/>
    </xf>
    <xf numFmtId="14" fontId="30" fillId="5" borderId="50" xfId="0" applyNumberFormat="1" applyFont="1" applyFill="1" applyBorder="1" applyAlignment="1" applyProtection="1">
      <alignment horizontal="center" vertical="center"/>
      <protection hidden="1"/>
    </xf>
    <xf numFmtId="177" fontId="30" fillId="6" borderId="41" xfId="0" applyNumberFormat="1" applyFont="1" applyFill="1" applyBorder="1" applyAlignment="1" applyProtection="1">
      <alignment horizontal="center" vertical="center"/>
      <protection hidden="1"/>
    </xf>
    <xf numFmtId="0" fontId="12" fillId="0" borderId="0" xfId="0" applyFont="1" applyAlignment="1" applyProtection="1">
      <alignment vertical="center" textRotation="90" wrapText="1"/>
      <protection hidden="1"/>
    </xf>
    <xf numFmtId="1" fontId="30" fillId="0" borderId="0" xfId="0" applyNumberFormat="1" applyFont="1" applyAlignment="1" applyProtection="1">
      <alignment horizontal="center" vertical="center"/>
      <protection hidden="1"/>
    </xf>
    <xf numFmtId="14" fontId="30" fillId="0" borderId="0" xfId="0" applyNumberFormat="1" applyFont="1" applyAlignment="1" applyProtection="1">
      <alignment vertical="center"/>
      <protection hidden="1"/>
    </xf>
    <xf numFmtId="177" fontId="30" fillId="0" borderId="0" xfId="0" applyNumberFormat="1" applyFont="1" applyAlignment="1" applyProtection="1">
      <alignment horizontal="center" vertical="center"/>
      <protection hidden="1"/>
    </xf>
    <xf numFmtId="11" fontId="30" fillId="6" borderId="38" xfId="0" applyNumberFormat="1" applyFont="1" applyFill="1" applyBorder="1" applyAlignment="1" applyProtection="1">
      <alignment horizontal="center" vertical="center"/>
      <protection hidden="1"/>
    </xf>
    <xf numFmtId="181" fontId="30" fillId="5" borderId="38" xfId="0" applyNumberFormat="1" applyFont="1" applyFill="1" applyBorder="1" applyAlignment="1" applyProtection="1">
      <alignment horizontal="center" vertical="center"/>
      <protection hidden="1"/>
    </xf>
    <xf numFmtId="11" fontId="30" fillId="0" borderId="0" xfId="0" applyNumberFormat="1" applyFont="1" applyProtection="1">
      <protection hidden="1"/>
    </xf>
    <xf numFmtId="0" fontId="30" fillId="5" borderId="78" xfId="0" applyFont="1" applyFill="1" applyBorder="1" applyAlignment="1" applyProtection="1">
      <alignment horizontal="center" vertical="center" wrapText="1"/>
      <protection hidden="1"/>
    </xf>
    <xf numFmtId="0" fontId="30" fillId="5" borderId="12" xfId="0" applyFont="1" applyFill="1" applyBorder="1" applyAlignment="1" applyProtection="1">
      <alignment horizontal="center" vertical="center"/>
      <protection hidden="1"/>
    </xf>
    <xf numFmtId="186" fontId="30" fillId="5" borderId="12" xfId="0" applyNumberFormat="1" applyFont="1" applyFill="1" applyBorder="1" applyAlignment="1" applyProtection="1">
      <alignment horizontal="center" vertical="center"/>
      <protection hidden="1"/>
    </xf>
    <xf numFmtId="164" fontId="30" fillId="5" borderId="57" xfId="0" applyNumberFormat="1" applyFont="1" applyFill="1" applyBorder="1" applyAlignment="1" applyProtection="1">
      <alignment horizontal="center" vertical="center"/>
      <protection hidden="1"/>
    </xf>
    <xf numFmtId="0" fontId="30" fillId="6" borderId="20" xfId="0" applyFont="1" applyFill="1" applyBorder="1" applyAlignment="1" applyProtection="1">
      <alignment horizontal="center" vertical="center" wrapText="1"/>
      <protection hidden="1"/>
    </xf>
    <xf numFmtId="168" fontId="30" fillId="2" borderId="9" xfId="0" applyNumberFormat="1" applyFont="1" applyFill="1" applyBorder="1" applyAlignment="1" applyProtection="1">
      <alignment horizontal="center" vertical="center" wrapText="1"/>
      <protection hidden="1"/>
    </xf>
    <xf numFmtId="11" fontId="30" fillId="2" borderId="9" xfId="0" applyNumberFormat="1" applyFont="1" applyFill="1" applyBorder="1" applyAlignment="1" applyProtection="1">
      <alignment horizontal="center" vertical="center" wrapText="1"/>
      <protection hidden="1"/>
    </xf>
    <xf numFmtId="167" fontId="31" fillId="0" borderId="30" xfId="0" applyNumberFormat="1" applyFont="1" applyBorder="1" applyAlignment="1" applyProtection="1">
      <alignment horizontal="center" vertical="center" wrapText="1"/>
      <protection hidden="1"/>
    </xf>
    <xf numFmtId="0" fontId="31" fillId="0" borderId="9" xfId="0" applyFont="1" applyBorder="1" applyAlignment="1" applyProtection="1">
      <alignment horizontal="center" vertical="center" wrapText="1"/>
      <protection hidden="1"/>
    </xf>
    <xf numFmtId="0" fontId="31" fillId="0" borderId="32" xfId="0" applyFont="1" applyBorder="1" applyAlignment="1" applyProtection="1">
      <alignment horizontal="center" vertical="center" wrapText="1"/>
      <protection hidden="1"/>
    </xf>
    <xf numFmtId="0" fontId="41" fillId="0" borderId="0" xfId="0" applyFont="1" applyAlignment="1" applyProtection="1">
      <alignment horizontal="center"/>
      <protection hidden="1"/>
    </xf>
    <xf numFmtId="0" fontId="42" fillId="0" borderId="0" xfId="0" applyFont="1" applyAlignment="1" applyProtection="1">
      <alignment vertical="center" wrapText="1"/>
      <protection hidden="1"/>
    </xf>
    <xf numFmtId="0" fontId="42" fillId="0" borderId="0" xfId="0" applyFont="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30" fillId="2" borderId="0" xfId="0" applyFont="1" applyFill="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0" fontId="41" fillId="0" borderId="0" xfId="0" applyFont="1" applyAlignment="1" applyProtection="1">
      <alignment vertical="center" wrapText="1"/>
      <protection hidden="1"/>
    </xf>
    <xf numFmtId="176" fontId="30" fillId="0" borderId="0" xfId="0" applyNumberFormat="1" applyFont="1" applyAlignment="1" applyProtection="1">
      <alignment horizontal="left" vertical="center" wrapText="1"/>
      <protection hidden="1"/>
    </xf>
    <xf numFmtId="0" fontId="30" fillId="0" borderId="0" xfId="0" applyFont="1" applyAlignment="1" applyProtection="1">
      <alignment vertical="justify" wrapText="1"/>
      <protection locked="0" hidden="1"/>
    </xf>
    <xf numFmtId="0" fontId="30" fillId="0" borderId="0" xfId="0" applyFont="1" applyAlignment="1" applyProtection="1">
      <alignment horizontal="justify" vertical="justify" wrapText="1"/>
      <protection hidden="1"/>
    </xf>
    <xf numFmtId="0" fontId="41" fillId="0" borderId="0" xfId="0" applyFont="1" applyAlignment="1" applyProtection="1">
      <alignment vertical="justify" wrapText="1"/>
      <protection hidden="1"/>
    </xf>
    <xf numFmtId="0" fontId="12" fillId="0" borderId="0" xfId="0" applyFont="1" applyAlignment="1" applyProtection="1">
      <alignment horizontal="right"/>
      <protection hidden="1"/>
    </xf>
    <xf numFmtId="1" fontId="12" fillId="0" borderId="0" xfId="0" applyNumberFormat="1" applyFont="1" applyAlignment="1" applyProtection="1">
      <alignment horizontal="center"/>
      <protection hidden="1"/>
    </xf>
    <xf numFmtId="0" fontId="43" fillId="0" borderId="0" xfId="0" applyFont="1" applyAlignment="1" applyProtection="1">
      <alignment horizontal="left" vertical="center" wrapText="1"/>
      <protection hidden="1"/>
    </xf>
    <xf numFmtId="0" fontId="43" fillId="0" borderId="0" xfId="0" applyFont="1" applyAlignment="1" applyProtection="1">
      <alignment horizontal="justify" vertical="justify" wrapText="1"/>
      <protection hidden="1"/>
    </xf>
    <xf numFmtId="0" fontId="43" fillId="0" borderId="0" xfId="0" applyFont="1" applyProtection="1">
      <protection hidden="1"/>
    </xf>
    <xf numFmtId="0" fontId="75" fillId="0" borderId="0" xfId="0" applyFont="1" applyAlignment="1" applyProtection="1">
      <alignment horizontal="justify" vertical="center"/>
      <protection hidden="1"/>
    </xf>
    <xf numFmtId="0" fontId="76" fillId="0" borderId="0" xfId="0" applyFont="1" applyAlignment="1" applyProtection="1">
      <alignment horizontal="center"/>
      <protection hidden="1"/>
    </xf>
    <xf numFmtId="0" fontId="44" fillId="0" borderId="0" xfId="0" applyFont="1" applyAlignment="1" applyProtection="1">
      <alignment horizontal="center" vertical="center" wrapText="1"/>
      <protection hidden="1"/>
    </xf>
    <xf numFmtId="0" fontId="12" fillId="0" borderId="0" xfId="0" applyFont="1" applyAlignment="1" applyProtection="1">
      <alignment horizontal="justify" vertical="center" wrapText="1"/>
      <protection hidden="1"/>
    </xf>
    <xf numFmtId="0" fontId="41" fillId="0" borderId="0" xfId="0" applyFont="1" applyAlignment="1" applyProtection="1">
      <alignment horizontal="justify" vertical="center" wrapText="1"/>
      <protection hidden="1"/>
    </xf>
    <xf numFmtId="1" fontId="12" fillId="0" borderId="0" xfId="0" applyNumberFormat="1" applyFont="1" applyAlignment="1" applyProtection="1">
      <alignment horizontal="justify" vertical="center" wrapText="1"/>
      <protection hidden="1"/>
    </xf>
    <xf numFmtId="0" fontId="43" fillId="0" borderId="0" xfId="0" applyFont="1" applyAlignment="1" applyProtection="1">
      <alignment horizontal="justify" vertical="center"/>
      <protection hidden="1"/>
    </xf>
    <xf numFmtId="0" fontId="30" fillId="0" borderId="0" xfId="0" applyFont="1" applyAlignment="1" applyProtection="1">
      <alignment horizontal="justify" vertical="center" wrapText="1"/>
      <protection hidden="1"/>
    </xf>
    <xf numFmtId="0" fontId="43" fillId="0" borderId="0" xfId="0" applyFont="1" applyAlignment="1" applyProtection="1">
      <alignment horizontal="left"/>
      <protection hidden="1"/>
    </xf>
    <xf numFmtId="0" fontId="42" fillId="0" borderId="0" xfId="0" applyFont="1" applyAlignment="1" applyProtection="1">
      <alignment horizontal="left" vertical="center"/>
      <protection hidden="1"/>
    </xf>
    <xf numFmtId="0" fontId="41" fillId="0" borderId="0" xfId="0" applyFont="1" applyAlignment="1" applyProtection="1">
      <alignment horizontal="justify" vertical="justify" wrapText="1"/>
      <protection hidden="1"/>
    </xf>
    <xf numFmtId="0" fontId="30" fillId="0" borderId="0" xfId="0" applyFont="1" applyAlignment="1" applyProtection="1">
      <alignment horizontal="left" vertical="justify" wrapText="1"/>
      <protection hidden="1"/>
    </xf>
    <xf numFmtId="0" fontId="12" fillId="0" borderId="1"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187" fontId="30" fillId="0" borderId="42" xfId="0" applyNumberFormat="1" applyFont="1" applyBorder="1" applyAlignment="1" applyProtection="1">
      <alignment horizontal="center" vertical="center" wrapText="1"/>
      <protection hidden="1"/>
    </xf>
    <xf numFmtId="187" fontId="30" fillId="0" borderId="50" xfId="0" applyNumberFormat="1" applyFont="1" applyBorder="1" applyAlignment="1" applyProtection="1">
      <alignment horizontal="center" vertical="center" wrapText="1"/>
      <protection hidden="1"/>
    </xf>
    <xf numFmtId="188" fontId="30" fillId="0" borderId="50" xfId="0" applyNumberFormat="1" applyFont="1" applyBorder="1" applyAlignment="1" applyProtection="1">
      <alignment horizontal="center" vertical="center" wrapText="1"/>
      <protection hidden="1"/>
    </xf>
    <xf numFmtId="188" fontId="30" fillId="0" borderId="75" xfId="0" applyNumberFormat="1" applyFont="1" applyBorder="1" applyAlignment="1" applyProtection="1">
      <alignment horizontal="center" vertical="center" wrapText="1"/>
      <protection hidden="1"/>
    </xf>
    <xf numFmtId="0" fontId="30" fillId="0" borderId="0" xfId="0" applyFont="1" applyAlignment="1" applyProtection="1">
      <alignment horizontal="right" vertical="top" wrapText="1"/>
      <protection hidden="1"/>
    </xf>
    <xf numFmtId="0" fontId="30" fillId="0" borderId="0" xfId="0" applyFont="1" applyAlignment="1" applyProtection="1">
      <alignment horizontal="left" wrapText="1"/>
      <protection hidden="1"/>
    </xf>
    <xf numFmtId="0" fontId="77" fillId="0" borderId="0" xfId="0" applyFont="1" applyProtection="1">
      <protection hidden="1"/>
    </xf>
    <xf numFmtId="0" fontId="12" fillId="0" borderId="0" xfId="0" applyFont="1" applyAlignment="1" applyProtection="1">
      <alignment horizontal="left" vertical="center"/>
      <protection hidden="1"/>
    </xf>
    <xf numFmtId="0" fontId="42" fillId="0" borderId="0" xfId="0" applyFont="1" applyAlignment="1" applyProtection="1">
      <alignment horizontal="center" vertical="center" wrapText="1"/>
      <protection hidden="1"/>
    </xf>
    <xf numFmtId="0" fontId="14" fillId="0" borderId="2" xfId="0" applyFont="1" applyBorder="1" applyAlignment="1" applyProtection="1">
      <alignment horizontal="center" vertical="center" wrapText="1"/>
      <protection hidden="1"/>
    </xf>
    <xf numFmtId="0" fontId="78" fillId="0" borderId="0" xfId="0" applyFont="1" applyProtection="1">
      <protection hidden="1"/>
    </xf>
    <xf numFmtId="14" fontId="20" fillId="0" borderId="38" xfId="0" applyNumberFormat="1" applyFont="1" applyBorder="1" applyAlignment="1" applyProtection="1">
      <alignment horizontal="center" vertical="center" wrapText="1"/>
      <protection hidden="1"/>
    </xf>
    <xf numFmtId="14" fontId="20" fillId="0" borderId="9" xfId="0" applyNumberFormat="1" applyFont="1" applyBorder="1" applyAlignment="1" applyProtection="1">
      <alignment horizontal="center" vertical="center" wrapText="1"/>
      <protection hidden="1"/>
    </xf>
    <xf numFmtId="14" fontId="20" fillId="2" borderId="41" xfId="0" applyNumberFormat="1" applyFont="1" applyFill="1" applyBorder="1" applyAlignment="1" applyProtection="1">
      <alignment horizontal="center" vertical="center" wrapText="1"/>
      <protection hidden="1"/>
    </xf>
    <xf numFmtId="2" fontId="41" fillId="0" borderId="0" xfId="9" applyFont="1" applyFill="1" applyBorder="1" applyAlignment="1">
      <alignment horizontal="center" vertical="center"/>
      <protection locked="0"/>
    </xf>
    <xf numFmtId="0" fontId="41" fillId="2" borderId="0" xfId="0" applyFont="1" applyFill="1" applyProtection="1">
      <protection hidden="1"/>
    </xf>
    <xf numFmtId="0" fontId="77" fillId="2" borderId="0" xfId="0" applyFont="1" applyFill="1" applyProtection="1">
      <protection hidden="1"/>
    </xf>
    <xf numFmtId="0" fontId="44" fillId="0" borderId="0" xfId="0" applyFont="1" applyAlignment="1" applyProtection="1">
      <alignment horizontal="left" vertical="center"/>
      <protection hidden="1"/>
    </xf>
    <xf numFmtId="0" fontId="77" fillId="0" borderId="0" xfId="0" applyFont="1" applyAlignment="1" applyProtection="1">
      <alignment horizontal="justify" vertical="justify" wrapText="1"/>
      <protection hidden="1"/>
    </xf>
    <xf numFmtId="0" fontId="14" fillId="0" borderId="2" xfId="0" applyFont="1" applyBorder="1" applyAlignment="1" applyProtection="1">
      <alignment horizontal="centerContinuous" vertical="center" wrapText="1"/>
      <protection hidden="1"/>
    </xf>
    <xf numFmtId="0" fontId="14" fillId="0" borderId="68" xfId="0" applyFont="1" applyBorder="1" applyAlignment="1" applyProtection="1">
      <alignment horizontal="centerContinuous" vertical="center" wrapText="1"/>
      <protection hidden="1"/>
    </xf>
    <xf numFmtId="0" fontId="14" fillId="0" borderId="1" xfId="0" applyFont="1" applyBorder="1" applyAlignment="1" applyProtection="1">
      <alignment horizontal="center" vertical="center"/>
      <protection hidden="1"/>
    </xf>
    <xf numFmtId="0" fontId="14" fillId="0" borderId="1" xfId="0" applyFont="1" applyBorder="1" applyAlignment="1" applyProtection="1">
      <alignment horizontal="center" vertical="center" wrapText="1"/>
      <protection hidden="1"/>
    </xf>
    <xf numFmtId="0" fontId="20" fillId="0" borderId="68" xfId="0" applyFont="1" applyBorder="1" applyAlignment="1" applyProtection="1">
      <alignment horizontal="center" vertical="center" wrapText="1"/>
      <protection hidden="1"/>
    </xf>
    <xf numFmtId="191" fontId="20" fillId="2" borderId="1" xfId="0" applyNumberFormat="1" applyFont="1" applyFill="1" applyBorder="1" applyAlignment="1" applyProtection="1">
      <alignment horizontal="center" vertical="center" wrapText="1"/>
      <protection hidden="1"/>
    </xf>
    <xf numFmtId="2" fontId="20" fillId="0" borderId="1" xfId="0" applyNumberFormat="1" applyFont="1" applyBorder="1" applyAlignment="1" applyProtection="1">
      <alignment horizontal="centerContinuous" vertical="center" wrapText="1"/>
      <protection hidden="1"/>
    </xf>
    <xf numFmtId="167" fontId="20" fillId="0" borderId="1" xfId="0" applyNumberFormat="1" applyFont="1" applyBorder="1" applyAlignment="1" applyProtection="1">
      <alignment horizontal="center" vertical="center" wrapText="1"/>
      <protection hidden="1"/>
    </xf>
    <xf numFmtId="0" fontId="20" fillId="0" borderId="1" xfId="0" applyFont="1" applyBorder="1" applyAlignment="1" applyProtection="1">
      <alignment horizontal="center" vertical="center" wrapText="1"/>
      <protection hidden="1"/>
    </xf>
    <xf numFmtId="190" fontId="20" fillId="2" borderId="68" xfId="0" applyNumberFormat="1" applyFont="1" applyFill="1" applyBorder="1" applyAlignment="1" applyProtection="1">
      <alignment horizontal="center" vertical="center" wrapText="1"/>
      <protection hidden="1"/>
    </xf>
    <xf numFmtId="0" fontId="20" fillId="2" borderId="1" xfId="0" applyFont="1" applyFill="1" applyBorder="1" applyAlignment="1" applyProtection="1">
      <alignment horizontal="center" vertical="center" wrapText="1"/>
      <protection hidden="1"/>
    </xf>
    <xf numFmtId="2" fontId="20" fillId="0" borderId="1" xfId="0" applyNumberFormat="1" applyFont="1" applyBorder="1" applyAlignment="1" applyProtection="1">
      <alignment horizontal="center" vertical="center" wrapText="1"/>
      <protection hidden="1"/>
    </xf>
    <xf numFmtId="164" fontId="20" fillId="0" borderId="1" xfId="0" applyNumberFormat="1" applyFont="1" applyBorder="1" applyAlignment="1" applyProtection="1">
      <alignment horizontal="center" vertical="center" wrapText="1"/>
      <protection hidden="1"/>
    </xf>
    <xf numFmtId="166" fontId="20" fillId="0" borderId="1" xfId="0" applyNumberFormat="1" applyFont="1" applyBorder="1" applyAlignment="1" applyProtection="1">
      <alignment horizontal="center" vertical="center" wrapText="1"/>
      <protection hidden="1"/>
    </xf>
    <xf numFmtId="173" fontId="20" fillId="0" borderId="0" xfId="0" applyNumberFormat="1" applyFont="1" applyAlignment="1" applyProtection="1">
      <alignment horizontal="centerContinuous" vertical="center" wrapText="1"/>
      <protection hidden="1"/>
    </xf>
    <xf numFmtId="0" fontId="20" fillId="0" borderId="0" xfId="0" applyFont="1" applyAlignment="1" applyProtection="1">
      <alignment horizontal="centerContinuous" vertical="center" wrapText="1"/>
      <protection hidden="1"/>
    </xf>
    <xf numFmtId="1" fontId="20" fillId="0" borderId="0" xfId="0" applyNumberFormat="1"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165" fontId="20" fillId="2" borderId="0" xfId="0" applyNumberFormat="1" applyFont="1" applyFill="1" applyAlignment="1" applyProtection="1">
      <alignment horizontal="center" vertical="center" wrapText="1"/>
      <protection hidden="1"/>
    </xf>
    <xf numFmtId="167" fontId="20" fillId="0" borderId="0" xfId="0" applyNumberFormat="1" applyFont="1" applyAlignment="1" applyProtection="1">
      <alignment horizontal="centerContinuous" vertical="center" wrapText="1"/>
      <protection hidden="1"/>
    </xf>
    <xf numFmtId="0" fontId="20" fillId="0" borderId="0" xfId="0" applyFont="1" applyProtection="1">
      <protection hidden="1"/>
    </xf>
    <xf numFmtId="0" fontId="14" fillId="0" borderId="4" xfId="0" applyFont="1" applyBorder="1" applyAlignment="1" applyProtection="1">
      <alignment horizontal="centerContinuous" vertical="center" wrapText="1"/>
      <protection hidden="1"/>
    </xf>
    <xf numFmtId="191" fontId="20" fillId="2" borderId="68" xfId="0" applyNumberFormat="1" applyFont="1" applyFill="1" applyBorder="1" applyAlignment="1" applyProtection="1">
      <alignment horizontal="center" vertical="center" wrapText="1"/>
      <protection hidden="1"/>
    </xf>
    <xf numFmtId="0" fontId="20" fillId="2" borderId="6" xfId="0" applyFont="1" applyFill="1" applyBorder="1" applyAlignment="1" applyProtection="1">
      <alignment horizontal="center" vertical="center" wrapText="1"/>
      <protection hidden="1"/>
    </xf>
    <xf numFmtId="167" fontId="78" fillId="0" borderId="1" xfId="0" applyNumberFormat="1" applyFont="1" applyBorder="1" applyAlignment="1" applyProtection="1">
      <alignment horizontal="center" vertical="center" wrapText="1"/>
      <protection hidden="1"/>
    </xf>
    <xf numFmtId="2" fontId="78" fillId="0" borderId="1" xfId="0" applyNumberFormat="1" applyFont="1" applyBorder="1" applyAlignment="1" applyProtection="1">
      <alignment horizontal="center" vertical="center" wrapText="1"/>
      <protection hidden="1"/>
    </xf>
    <xf numFmtId="192" fontId="20" fillId="2" borderId="1" xfId="0" applyNumberFormat="1" applyFont="1" applyFill="1" applyBorder="1" applyAlignment="1" applyProtection="1">
      <alignment horizontal="center" vertical="center" wrapText="1"/>
      <protection hidden="1"/>
    </xf>
    <xf numFmtId="164" fontId="20" fillId="0" borderId="1" xfId="0" applyNumberFormat="1" applyFont="1" applyBorder="1" applyAlignment="1" applyProtection="1">
      <alignment horizontal="centerContinuous" vertical="center" wrapText="1"/>
      <protection hidden="1"/>
    </xf>
    <xf numFmtId="165" fontId="78" fillId="0" borderId="1" xfId="0" applyNumberFormat="1" applyFont="1" applyBorder="1" applyAlignment="1" applyProtection="1">
      <alignment horizontal="center" vertical="center" wrapText="1"/>
      <protection hidden="1"/>
    </xf>
    <xf numFmtId="166" fontId="20" fillId="2" borderId="1" xfId="0" applyNumberFormat="1" applyFont="1" applyFill="1" applyBorder="1" applyAlignment="1" applyProtection="1">
      <alignment horizontal="center" vertical="center" wrapText="1"/>
      <protection hidden="1"/>
    </xf>
    <xf numFmtId="166" fontId="20" fillId="0" borderId="1" xfId="0" applyNumberFormat="1" applyFont="1" applyBorder="1" applyAlignment="1" applyProtection="1">
      <alignment horizontal="centerContinuous" vertical="center" wrapText="1"/>
      <protection hidden="1"/>
    </xf>
    <xf numFmtId="166" fontId="78" fillId="0" borderId="1" xfId="0" applyNumberFormat="1" applyFont="1" applyBorder="1" applyAlignment="1" applyProtection="1">
      <alignment horizontal="center" vertical="center" wrapText="1"/>
      <protection hidden="1"/>
    </xf>
    <xf numFmtId="0" fontId="30" fillId="2" borderId="76" xfId="0" applyFont="1" applyFill="1" applyBorder="1" applyAlignment="1" applyProtection="1">
      <alignment horizontal="center" vertical="center"/>
      <protection hidden="1"/>
    </xf>
    <xf numFmtId="167" fontId="30" fillId="2" borderId="76" xfId="0" applyNumberFormat="1" applyFont="1" applyFill="1" applyBorder="1" applyAlignment="1" applyProtection="1">
      <alignment horizontal="center" vertical="center"/>
      <protection hidden="1"/>
    </xf>
    <xf numFmtId="167" fontId="41" fillId="2" borderId="0" xfId="0" applyNumberFormat="1" applyFont="1" applyFill="1" applyProtection="1">
      <protection hidden="1"/>
    </xf>
    <xf numFmtId="2" fontId="30" fillId="2" borderId="0" xfId="0" applyNumberFormat="1" applyFont="1" applyFill="1" applyProtection="1">
      <protection hidden="1"/>
    </xf>
    <xf numFmtId="167" fontId="30" fillId="0" borderId="0" xfId="0" applyNumberFormat="1" applyFont="1" applyProtection="1">
      <protection hidden="1"/>
    </xf>
    <xf numFmtId="167" fontId="41" fillId="0" borderId="0" xfId="0" applyNumberFormat="1" applyFont="1" applyProtection="1">
      <protection hidden="1"/>
    </xf>
    <xf numFmtId="0" fontId="80" fillId="0" borderId="0" xfId="0" applyFont="1" applyAlignment="1" applyProtection="1">
      <alignment horizontal="left" vertical="center" wrapText="1"/>
      <protection hidden="1"/>
    </xf>
    <xf numFmtId="2" fontId="12" fillId="0" borderId="55" xfId="0" applyNumberFormat="1" applyFont="1" applyBorder="1" applyAlignment="1" applyProtection="1">
      <alignment horizontal="center" wrapText="1"/>
      <protection hidden="1"/>
    </xf>
    <xf numFmtId="0" fontId="12" fillId="0" borderId="55" xfId="0" applyFont="1" applyBorder="1" applyAlignment="1" applyProtection="1">
      <alignment horizontal="center" wrapText="1"/>
      <protection hidden="1"/>
    </xf>
    <xf numFmtId="0" fontId="32" fillId="2" borderId="0" xfId="0" applyFont="1" applyFill="1" applyAlignment="1" applyProtection="1">
      <alignment horizontal="center" wrapText="1"/>
      <protection hidden="1"/>
    </xf>
    <xf numFmtId="166" fontId="12" fillId="0" borderId="55" xfId="0" applyNumberFormat="1" applyFont="1" applyBorder="1" applyAlignment="1" applyProtection="1">
      <alignment horizontal="center" wrapText="1"/>
      <protection hidden="1"/>
    </xf>
    <xf numFmtId="0" fontId="12" fillId="0" borderId="33" xfId="0" applyFont="1" applyBorder="1" applyAlignment="1" applyProtection="1">
      <alignment horizontal="center" wrapText="1"/>
      <protection hidden="1"/>
    </xf>
    <xf numFmtId="166" fontId="12" fillId="0" borderId="1" xfId="0" applyNumberFormat="1" applyFont="1" applyBorder="1" applyAlignment="1" applyProtection="1">
      <alignment horizontal="center" wrapText="1"/>
      <protection hidden="1"/>
    </xf>
    <xf numFmtId="0" fontId="12" fillId="0" borderId="53" xfId="0" applyFont="1" applyBorder="1" applyAlignment="1" applyProtection="1">
      <alignment horizontal="center" wrapText="1"/>
      <protection hidden="1"/>
    </xf>
    <xf numFmtId="1" fontId="12" fillId="0" borderId="0" xfId="0" applyNumberFormat="1" applyFont="1" applyProtection="1">
      <protection hidden="1"/>
    </xf>
    <xf numFmtId="0" fontId="41" fillId="12" borderId="0" xfId="0" applyFont="1" applyFill="1" applyProtection="1">
      <protection hidden="1"/>
    </xf>
    <xf numFmtId="0" fontId="12" fillId="0" borderId="0" xfId="0" applyFont="1" applyAlignment="1" applyProtection="1">
      <alignment horizontal="center"/>
      <protection hidden="1"/>
    </xf>
    <xf numFmtId="167" fontId="20" fillId="0" borderId="1" xfId="0" applyNumberFormat="1" applyFont="1" applyBorder="1" applyAlignment="1" applyProtection="1">
      <alignment horizontal="centerContinuous" vertical="center" wrapText="1"/>
      <protection hidden="1"/>
    </xf>
    <xf numFmtId="164" fontId="20" fillId="2" borderId="1" xfId="0" applyNumberFormat="1" applyFont="1" applyFill="1" applyBorder="1" applyAlignment="1" applyProtection="1">
      <alignment horizontal="center" vertical="center" wrapText="1"/>
      <protection hidden="1"/>
    </xf>
    <xf numFmtId="2" fontId="31" fillId="24" borderId="0" xfId="9" applyFont="1" applyFill="1" applyBorder="1" applyAlignment="1">
      <alignment horizontal="center"/>
      <protection locked="0"/>
    </xf>
    <xf numFmtId="0" fontId="73" fillId="2" borderId="0" xfId="0" applyFont="1" applyFill="1" applyProtection="1">
      <protection hidden="1"/>
    </xf>
    <xf numFmtId="2" fontId="45" fillId="24" borderId="0" xfId="9" applyFont="1" applyFill="1" applyBorder="1" applyAlignment="1">
      <alignment horizontal="center" vertical="center" wrapText="1"/>
      <protection locked="0"/>
    </xf>
    <xf numFmtId="166" fontId="30" fillId="5" borderId="35" xfId="0" applyNumberFormat="1" applyFont="1" applyFill="1" applyBorder="1" applyAlignment="1" applyProtection="1">
      <alignment horizontal="center" vertical="center" wrapText="1"/>
      <protection hidden="1"/>
    </xf>
    <xf numFmtId="0" fontId="30" fillId="6" borderId="56" xfId="0" applyFont="1" applyFill="1" applyBorder="1" applyAlignment="1" applyProtection="1">
      <alignment horizontal="center" vertical="center" wrapText="1"/>
      <protection hidden="1"/>
    </xf>
    <xf numFmtId="0" fontId="30" fillId="6" borderId="22" xfId="0" applyFont="1" applyFill="1" applyBorder="1" applyAlignment="1" applyProtection="1">
      <alignment horizontal="center" vertical="center" wrapText="1"/>
      <protection hidden="1"/>
    </xf>
    <xf numFmtId="0" fontId="30" fillId="6" borderId="59" xfId="0" applyFont="1" applyFill="1" applyBorder="1" applyAlignment="1" applyProtection="1">
      <alignment horizontal="center" vertical="center" wrapText="1"/>
      <protection hidden="1"/>
    </xf>
    <xf numFmtId="0" fontId="30" fillId="6" borderId="55" xfId="0" applyFont="1" applyFill="1" applyBorder="1" applyAlignment="1" applyProtection="1">
      <alignment horizontal="center" vertical="center" wrapText="1"/>
      <protection hidden="1"/>
    </xf>
    <xf numFmtId="0" fontId="30" fillId="6" borderId="33" xfId="0" applyFont="1" applyFill="1" applyBorder="1" applyAlignment="1" applyProtection="1">
      <alignment horizontal="center" vertical="center" wrapText="1"/>
      <protection hidden="1"/>
    </xf>
    <xf numFmtId="0" fontId="30" fillId="6" borderId="53" xfId="0" applyFont="1" applyFill="1" applyBorder="1" applyAlignment="1" applyProtection="1">
      <alignment horizontal="center" vertical="center" wrapText="1"/>
      <protection hidden="1"/>
    </xf>
    <xf numFmtId="0" fontId="4" fillId="0" borderId="30"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30" fillId="5" borderId="64" xfId="0" applyFont="1" applyFill="1" applyBorder="1" applyAlignment="1" applyProtection="1">
      <alignment horizontal="center" vertical="center"/>
      <protection hidden="1"/>
    </xf>
    <xf numFmtId="0" fontId="30" fillId="5" borderId="50" xfId="0" applyFont="1" applyFill="1" applyBorder="1" applyAlignment="1" applyProtection="1">
      <alignment horizontal="center" vertical="center"/>
      <protection hidden="1"/>
    </xf>
    <xf numFmtId="0" fontId="12" fillId="5" borderId="16" xfId="0" applyFont="1" applyFill="1" applyBorder="1" applyAlignment="1" applyProtection="1">
      <alignment horizontal="center" vertical="center" wrapText="1"/>
      <protection hidden="1"/>
    </xf>
    <xf numFmtId="0" fontId="12" fillId="5" borderId="34" xfId="0" applyFont="1" applyFill="1" applyBorder="1" applyAlignment="1" applyProtection="1">
      <alignment horizontal="center" vertical="center" wrapText="1"/>
      <protection hidden="1"/>
    </xf>
    <xf numFmtId="0" fontId="12" fillId="5" borderId="54" xfId="0" applyFont="1" applyFill="1" applyBorder="1" applyAlignment="1" applyProtection="1">
      <alignment horizontal="center" vertical="center" wrapText="1"/>
      <protection hidden="1"/>
    </xf>
    <xf numFmtId="2" fontId="12" fillId="5" borderId="35" xfId="0" applyNumberFormat="1" applyFont="1" applyFill="1" applyBorder="1" applyAlignment="1" applyProtection="1">
      <alignment horizontal="center" vertical="center" wrapText="1"/>
      <protection hidden="1"/>
    </xf>
    <xf numFmtId="167" fontId="30" fillId="5" borderId="30" xfId="0" applyNumberFormat="1" applyFont="1" applyFill="1" applyBorder="1" applyAlignment="1" applyProtection="1">
      <alignment horizontal="center" vertical="center" wrapText="1"/>
      <protection locked="0" hidden="1"/>
    </xf>
    <xf numFmtId="167" fontId="30" fillId="5" borderId="32" xfId="0" applyNumberFormat="1" applyFont="1" applyFill="1" applyBorder="1" applyAlignment="1" applyProtection="1">
      <alignment horizontal="center" vertical="center" wrapText="1"/>
      <protection locked="0" hidden="1"/>
    </xf>
    <xf numFmtId="167" fontId="30" fillId="5" borderId="40" xfId="0" applyNumberFormat="1" applyFont="1" applyFill="1" applyBorder="1" applyAlignment="1" applyProtection="1">
      <alignment horizontal="center" vertical="center" wrapText="1"/>
      <protection locked="0" hidden="1"/>
    </xf>
    <xf numFmtId="167" fontId="30" fillId="5" borderId="41" xfId="0" applyNumberFormat="1" applyFont="1" applyFill="1" applyBorder="1" applyAlignment="1" applyProtection="1">
      <alignment horizontal="center" vertical="center" wrapText="1"/>
      <protection locked="0" hidden="1"/>
    </xf>
    <xf numFmtId="167" fontId="30" fillId="5" borderId="35" xfId="0" applyNumberFormat="1" applyFont="1" applyFill="1" applyBorder="1" applyAlignment="1" applyProtection="1">
      <alignment horizontal="center" vertical="center" wrapText="1"/>
      <protection locked="0" hidden="1"/>
    </xf>
    <xf numFmtId="0" fontId="30" fillId="8" borderId="30" xfId="0" applyFont="1" applyFill="1" applyBorder="1" applyAlignment="1" applyProtection="1">
      <alignment horizontal="center" vertical="center" wrapText="1"/>
      <protection hidden="1"/>
    </xf>
    <xf numFmtId="0" fontId="30" fillId="8" borderId="9" xfId="0" applyFont="1" applyFill="1" applyBorder="1" applyAlignment="1" applyProtection="1">
      <alignment horizontal="center" vertical="center" wrapText="1"/>
      <protection hidden="1"/>
    </xf>
    <xf numFmtId="2" fontId="30" fillId="8" borderId="32" xfId="0" applyNumberFormat="1" applyFont="1" applyFill="1" applyBorder="1" applyAlignment="1" applyProtection="1">
      <alignment horizontal="center" vertical="center" wrapText="1"/>
      <protection hidden="1"/>
    </xf>
    <xf numFmtId="11" fontId="30" fillId="0" borderId="0" xfId="0" applyNumberFormat="1" applyFont="1" applyAlignment="1" applyProtection="1">
      <alignment horizontal="center"/>
      <protection hidden="1"/>
    </xf>
    <xf numFmtId="1" fontId="30" fillId="5" borderId="9" xfId="0" applyNumberFormat="1" applyFont="1" applyFill="1" applyBorder="1" applyAlignment="1" applyProtection="1">
      <alignment horizontal="center" vertical="center" wrapText="1"/>
      <protection hidden="1"/>
    </xf>
    <xf numFmtId="194" fontId="12" fillId="6" borderId="30" xfId="0" applyNumberFormat="1" applyFont="1" applyFill="1" applyBorder="1" applyAlignment="1" applyProtection="1">
      <alignment horizontal="center" vertical="center"/>
      <protection hidden="1"/>
    </xf>
    <xf numFmtId="0" fontId="30" fillId="2" borderId="9" xfId="0" applyFont="1" applyFill="1" applyBorder="1" applyAlignment="1" applyProtection="1">
      <alignment horizontal="center" vertical="center" wrapText="1"/>
      <protection hidden="1"/>
    </xf>
    <xf numFmtId="167" fontId="50" fillId="6" borderId="35" xfId="0" applyNumberFormat="1" applyFont="1" applyFill="1" applyBorder="1" applyAlignment="1" applyProtection="1">
      <alignment horizontal="center" vertical="center" wrapText="1"/>
      <protection hidden="1"/>
    </xf>
    <xf numFmtId="167" fontId="12" fillId="6" borderId="1" xfId="0" applyNumberFormat="1" applyFont="1" applyFill="1" applyBorder="1" applyAlignment="1">
      <alignment horizontal="center" vertical="center" wrapText="1"/>
    </xf>
    <xf numFmtId="2" fontId="12" fillId="6" borderId="1" xfId="0" applyNumberFormat="1" applyFont="1" applyFill="1" applyBorder="1" applyAlignment="1">
      <alignment horizontal="center" vertical="center" wrapText="1"/>
    </xf>
    <xf numFmtId="0" fontId="30" fillId="2" borderId="30" xfId="0" applyFont="1" applyFill="1" applyBorder="1" applyAlignment="1" applyProtection="1">
      <alignment horizontal="center" vertical="center" wrapText="1"/>
      <protection hidden="1"/>
    </xf>
    <xf numFmtId="0" fontId="30" fillId="2" borderId="32" xfId="0" applyFont="1" applyFill="1" applyBorder="1" applyAlignment="1" applyProtection="1">
      <alignment horizontal="center" vertical="center" wrapText="1"/>
      <protection hidden="1"/>
    </xf>
    <xf numFmtId="167" fontId="30" fillId="2" borderId="9" xfId="0" applyNumberFormat="1" applyFont="1" applyFill="1" applyBorder="1" applyAlignment="1" applyProtection="1">
      <alignment horizontal="center" vertical="center" wrapText="1"/>
      <protection hidden="1"/>
    </xf>
    <xf numFmtId="2" fontId="30" fillId="2" borderId="9" xfId="0" applyNumberFormat="1" applyFont="1" applyFill="1" applyBorder="1" applyAlignment="1" applyProtection="1">
      <alignment horizontal="center" vertical="center" wrapText="1"/>
      <protection hidden="1"/>
    </xf>
    <xf numFmtId="166" fontId="30" fillId="2" borderId="8" xfId="0" applyNumberFormat="1" applyFont="1" applyFill="1" applyBorder="1" applyAlignment="1" applyProtection="1">
      <alignment horizontal="center" vertical="center" wrapText="1"/>
      <protection hidden="1"/>
    </xf>
    <xf numFmtId="0" fontId="30" fillId="2" borderId="40" xfId="0" applyFont="1" applyFill="1" applyBorder="1" applyAlignment="1" applyProtection="1">
      <alignment horizontal="center" vertical="center" wrapText="1"/>
      <protection hidden="1"/>
    </xf>
    <xf numFmtId="2" fontId="30" fillId="2" borderId="41" xfId="0" applyNumberFormat="1" applyFont="1" applyFill="1" applyBorder="1" applyAlignment="1" applyProtection="1">
      <alignment horizontal="center" vertical="center" wrapText="1"/>
      <protection hidden="1"/>
    </xf>
    <xf numFmtId="0" fontId="30" fillId="2" borderId="41" xfId="0" applyFont="1" applyFill="1" applyBorder="1" applyAlignment="1" applyProtection="1">
      <alignment horizontal="center" vertical="center" wrapText="1"/>
      <protection hidden="1"/>
    </xf>
    <xf numFmtId="0" fontId="30" fillId="2" borderId="35" xfId="0" applyFont="1" applyFill="1" applyBorder="1" applyAlignment="1" applyProtection="1">
      <alignment horizontal="center" vertical="center" wrapText="1"/>
      <protection hidden="1"/>
    </xf>
    <xf numFmtId="0" fontId="30" fillId="2" borderId="36" xfId="0" applyFont="1" applyFill="1" applyBorder="1" applyAlignment="1" applyProtection="1">
      <alignment horizontal="center" vertical="center" wrapText="1"/>
      <protection hidden="1"/>
    </xf>
    <xf numFmtId="2" fontId="20" fillId="19" borderId="0" xfId="9" applyFont="1" applyBorder="1" applyAlignment="1">
      <alignment horizontal="center" vertical="center" wrapText="1"/>
      <protection locked="0"/>
    </xf>
    <xf numFmtId="193" fontId="20" fillId="2" borderId="1" xfId="0" applyNumberFormat="1" applyFont="1" applyFill="1" applyBorder="1" applyAlignment="1" applyProtection="1">
      <alignment horizontal="center" vertical="center" wrapText="1"/>
      <protection hidden="1"/>
    </xf>
    <xf numFmtId="168" fontId="20" fillId="0" borderId="1" xfId="0" applyNumberFormat="1" applyFont="1" applyBorder="1" applyAlignment="1" applyProtection="1">
      <alignment horizontal="centerContinuous" vertical="center" wrapText="1"/>
      <protection hidden="1"/>
    </xf>
    <xf numFmtId="2" fontId="20" fillId="2" borderId="1" xfId="0" applyNumberFormat="1" applyFont="1" applyFill="1" applyBorder="1" applyAlignment="1" applyProtection="1">
      <alignment horizontal="center" vertical="center" wrapText="1"/>
      <protection hidden="1"/>
    </xf>
    <xf numFmtId="2" fontId="30" fillId="19" borderId="0" xfId="9" applyFont="1" applyBorder="1" applyAlignment="1">
      <alignment horizontal="center"/>
      <protection locked="0"/>
    </xf>
    <xf numFmtId="164" fontId="40" fillId="0" borderId="0" xfId="0" applyNumberFormat="1" applyFont="1" applyAlignment="1">
      <alignment horizontal="center"/>
    </xf>
    <xf numFmtId="2" fontId="40" fillId="0" borderId="0" xfId="0" applyNumberFormat="1" applyFont="1" applyAlignment="1">
      <alignment horizontal="center"/>
    </xf>
    <xf numFmtId="0" fontId="30" fillId="0" borderId="0" xfId="0" applyFont="1" applyAlignment="1" applyProtection="1">
      <alignment horizontal="left" vertical="center"/>
      <protection hidden="1"/>
    </xf>
    <xf numFmtId="0" fontId="30" fillId="0" borderId="0" xfId="0" applyFont="1" applyAlignment="1" applyProtection="1">
      <alignment horizontal="right"/>
      <protection hidden="1"/>
    </xf>
    <xf numFmtId="0" fontId="76" fillId="0" borderId="0" xfId="0" applyFont="1" applyAlignment="1" applyProtection="1">
      <alignment horizontal="justify" vertical="center"/>
      <protection hidden="1"/>
    </xf>
    <xf numFmtId="0" fontId="43" fillId="0" borderId="0" xfId="0" applyFont="1" applyAlignment="1" applyProtection="1">
      <alignment horizontal="center" vertical="center" wrapText="1"/>
      <protection hidden="1"/>
    </xf>
    <xf numFmtId="1" fontId="30" fillId="0" borderId="0" xfId="0" applyNumberFormat="1" applyFont="1" applyAlignment="1" applyProtection="1">
      <alignment horizontal="justify" vertical="center" wrapText="1"/>
      <protection hidden="1"/>
    </xf>
    <xf numFmtId="0" fontId="41" fillId="0" borderId="0" xfId="0" applyFont="1" applyAlignment="1" applyProtection="1">
      <alignment horizontal="left" vertical="center"/>
      <protection hidden="1"/>
    </xf>
    <xf numFmtId="0" fontId="30" fillId="0" borderId="1" xfId="0" applyFont="1" applyBorder="1" applyAlignment="1" applyProtection="1">
      <alignment horizontal="center" vertical="center"/>
      <protection hidden="1"/>
    </xf>
    <xf numFmtId="0" fontId="30" fillId="0" borderId="1" xfId="0" applyFont="1" applyBorder="1" applyAlignment="1" applyProtection="1">
      <alignment horizontal="center" vertical="center" wrapText="1"/>
      <protection hidden="1"/>
    </xf>
    <xf numFmtId="0" fontId="43" fillId="0" borderId="0" xfId="0" applyFont="1" applyAlignment="1" applyProtection="1">
      <alignment horizontal="left" vertical="center"/>
      <protection hidden="1"/>
    </xf>
    <xf numFmtId="0" fontId="20" fillId="0" borderId="2" xfId="0" applyFont="1" applyBorder="1" applyAlignment="1" applyProtection="1">
      <alignment horizontal="centerContinuous" vertical="center" wrapText="1"/>
      <protection hidden="1"/>
    </xf>
    <xf numFmtId="0" fontId="20" fillId="0" borderId="68" xfId="0" applyFont="1" applyBorder="1" applyAlignment="1" applyProtection="1">
      <alignment horizontal="centerContinuous" vertical="center" wrapText="1"/>
      <protection hidden="1"/>
    </xf>
    <xf numFmtId="0" fontId="20" fillId="0" borderId="1" xfId="0" applyFont="1" applyBorder="1" applyAlignment="1" applyProtection="1">
      <alignment horizontal="center" vertical="center"/>
      <protection hidden="1"/>
    </xf>
    <xf numFmtId="0" fontId="20" fillId="0" borderId="4" xfId="0" applyFont="1" applyBorder="1" applyAlignment="1" applyProtection="1">
      <alignment horizontal="centerContinuous" vertical="center" wrapText="1"/>
      <protection hidden="1"/>
    </xf>
    <xf numFmtId="0" fontId="80" fillId="2" borderId="0" xfId="0" applyFont="1" applyFill="1" applyAlignment="1" applyProtection="1">
      <alignment horizontal="center" wrapText="1"/>
      <protection hidden="1"/>
    </xf>
    <xf numFmtId="2" fontId="30" fillId="0" borderId="55" xfId="0" applyNumberFormat="1" applyFont="1" applyBorder="1" applyAlignment="1" applyProtection="1">
      <alignment horizontal="center" wrapText="1"/>
      <protection hidden="1"/>
    </xf>
    <xf numFmtId="0" fontId="30" fillId="0" borderId="55" xfId="0" applyFont="1" applyBorder="1" applyAlignment="1" applyProtection="1">
      <alignment horizontal="center" wrapText="1"/>
      <protection hidden="1"/>
    </xf>
    <xf numFmtId="2" fontId="30" fillId="2" borderId="1" xfId="0" applyNumberFormat="1" applyFont="1" applyFill="1" applyBorder="1" applyAlignment="1" applyProtection="1">
      <alignment horizontal="center" wrapText="1"/>
      <protection hidden="1"/>
    </xf>
    <xf numFmtId="166" fontId="30" fillId="0" borderId="55" xfId="0" applyNumberFormat="1" applyFont="1" applyBorder="1" applyAlignment="1" applyProtection="1">
      <alignment horizontal="center" wrapText="1"/>
      <protection hidden="1"/>
    </xf>
    <xf numFmtId="0" fontId="30" fillId="0" borderId="33" xfId="0" applyFont="1" applyBorder="1" applyAlignment="1" applyProtection="1">
      <alignment horizontal="center" wrapText="1"/>
      <protection hidden="1"/>
    </xf>
    <xf numFmtId="166" fontId="30" fillId="2" borderId="1" xfId="0" applyNumberFormat="1" applyFont="1" applyFill="1" applyBorder="1" applyAlignment="1" applyProtection="1">
      <alignment horizontal="center" wrapText="1"/>
      <protection hidden="1"/>
    </xf>
    <xf numFmtId="166" fontId="30" fillId="0" borderId="1" xfId="0" applyNumberFormat="1" applyFont="1" applyBorder="1" applyAlignment="1" applyProtection="1">
      <alignment horizontal="center" wrapText="1"/>
      <protection hidden="1"/>
    </xf>
    <xf numFmtId="0" fontId="30" fillId="0" borderId="53" xfId="0" applyFont="1" applyBorder="1" applyAlignment="1" applyProtection="1">
      <alignment horizontal="center" wrapText="1"/>
      <protection hidden="1"/>
    </xf>
    <xf numFmtId="0" fontId="12" fillId="4" borderId="7" xfId="0" applyFont="1" applyFill="1" applyBorder="1" applyAlignment="1" applyProtection="1">
      <alignment horizontal="center" vertical="center" wrapText="1"/>
      <protection hidden="1"/>
    </xf>
    <xf numFmtId="0" fontId="12" fillId="4" borderId="26" xfId="0" applyFont="1" applyFill="1" applyBorder="1" applyAlignment="1" applyProtection="1">
      <alignment horizontal="center" vertical="center" wrapText="1"/>
      <protection hidden="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0" fillId="12" borderId="38" xfId="0" applyFont="1" applyFill="1" applyBorder="1" applyAlignment="1" applyProtection="1">
      <alignment horizontal="center" vertical="center"/>
      <protection hidden="1"/>
    </xf>
    <xf numFmtId="0" fontId="30" fillId="12" borderId="37" xfId="0" applyFont="1" applyFill="1" applyBorder="1" applyAlignment="1" applyProtection="1">
      <alignment horizontal="center" vertical="center"/>
      <protection hidden="1"/>
    </xf>
    <xf numFmtId="169" fontId="30" fillId="12" borderId="38" xfId="0" quotePrefix="1" applyNumberFormat="1" applyFont="1" applyFill="1" applyBorder="1" applyAlignment="1" applyProtection="1">
      <alignment horizontal="center" vertical="center" wrapText="1"/>
      <protection hidden="1"/>
    </xf>
    <xf numFmtId="0" fontId="30" fillId="12" borderId="30" xfId="0" applyFont="1" applyFill="1" applyBorder="1" applyAlignment="1" applyProtection="1">
      <alignment horizontal="center" vertical="center"/>
      <protection hidden="1"/>
    </xf>
    <xf numFmtId="0" fontId="30" fillId="12" borderId="9" xfId="0" applyFont="1" applyFill="1" applyBorder="1" applyAlignment="1" applyProtection="1">
      <alignment horizontal="center" vertical="center"/>
      <protection hidden="1"/>
    </xf>
    <xf numFmtId="169" fontId="30" fillId="12" borderId="9" xfId="0" quotePrefix="1" applyNumberFormat="1" applyFont="1" applyFill="1" applyBorder="1" applyAlignment="1" applyProtection="1">
      <alignment horizontal="center" vertical="center" wrapText="1"/>
      <protection hidden="1"/>
    </xf>
    <xf numFmtId="0" fontId="30" fillId="12" borderId="40" xfId="0" applyFont="1" applyFill="1" applyBorder="1" applyAlignment="1" applyProtection="1">
      <alignment horizontal="center" vertical="center"/>
      <protection hidden="1"/>
    </xf>
    <xf numFmtId="0" fontId="30" fillId="12" borderId="41" xfId="0" applyFont="1" applyFill="1" applyBorder="1" applyAlignment="1" applyProtection="1">
      <alignment horizontal="center" vertical="center"/>
      <protection hidden="1"/>
    </xf>
    <xf numFmtId="169" fontId="30" fillId="12" borderId="41" xfId="0" quotePrefix="1" applyNumberFormat="1" applyFont="1" applyFill="1" applyBorder="1" applyAlignment="1" applyProtection="1">
      <alignment horizontal="center" vertical="center" wrapText="1"/>
      <protection hidden="1"/>
    </xf>
    <xf numFmtId="0" fontId="12" fillId="4" borderId="65" xfId="0" applyFont="1" applyFill="1" applyBorder="1" applyAlignment="1">
      <alignment horizontal="left" vertical="center" wrapText="1"/>
    </xf>
    <xf numFmtId="0" fontId="12" fillId="4" borderId="63" xfId="0" applyFont="1" applyFill="1" applyBorder="1" applyAlignment="1">
      <alignment horizontal="left" vertical="center" wrapText="1"/>
    </xf>
    <xf numFmtId="0" fontId="12" fillId="4" borderId="66" xfId="0" applyFont="1" applyFill="1" applyBorder="1" applyAlignment="1">
      <alignment horizontal="left" vertical="center" wrapText="1"/>
    </xf>
    <xf numFmtId="0" fontId="12" fillId="4" borderId="71" xfId="0" applyFont="1" applyFill="1" applyBorder="1" applyAlignment="1">
      <alignment horizontal="left" vertical="center" wrapText="1"/>
    </xf>
    <xf numFmtId="0" fontId="12" fillId="4" borderId="63" xfId="0" applyFont="1" applyFill="1" applyBorder="1"/>
    <xf numFmtId="0" fontId="12" fillId="4" borderId="66" xfId="0" applyFont="1" applyFill="1" applyBorder="1"/>
    <xf numFmtId="0" fontId="30" fillId="6" borderId="63" xfId="0" applyFont="1" applyFill="1" applyBorder="1" applyAlignment="1">
      <alignment horizontal="left" vertical="center" wrapText="1"/>
    </xf>
    <xf numFmtId="0" fontId="30" fillId="6" borderId="30" xfId="0" applyFont="1" applyFill="1" applyBorder="1" applyAlignment="1">
      <alignment horizontal="center" vertical="center" wrapText="1"/>
    </xf>
    <xf numFmtId="0" fontId="30" fillId="6" borderId="9" xfId="0" applyFont="1" applyFill="1" applyBorder="1" applyAlignment="1">
      <alignment horizontal="center" vertical="center" wrapText="1"/>
    </xf>
    <xf numFmtId="168" fontId="30" fillId="6" borderId="9" xfId="0" applyNumberFormat="1" applyFont="1" applyFill="1" applyBorder="1" applyAlignment="1">
      <alignment horizontal="center" vertical="center" wrapText="1"/>
    </xf>
    <xf numFmtId="1" fontId="30" fillId="6" borderId="9" xfId="0" applyNumberFormat="1" applyFont="1" applyFill="1" applyBorder="1" applyAlignment="1">
      <alignment horizontal="center" vertical="center" wrapText="1"/>
    </xf>
    <xf numFmtId="179" fontId="30" fillId="6" borderId="9" xfId="0" applyNumberFormat="1" applyFont="1" applyFill="1" applyBorder="1" applyAlignment="1">
      <alignment horizontal="center" vertical="center" wrapText="1"/>
    </xf>
    <xf numFmtId="178" fontId="30" fillId="6" borderId="9" xfId="0" applyNumberFormat="1" applyFont="1" applyFill="1" applyBorder="1" applyAlignment="1">
      <alignment horizontal="center" vertical="center" wrapText="1"/>
    </xf>
    <xf numFmtId="11" fontId="30" fillId="6" borderId="9" xfId="0" applyNumberFormat="1" applyFont="1" applyFill="1" applyBorder="1" applyAlignment="1">
      <alignment horizontal="center" vertical="center" wrapText="1"/>
    </xf>
    <xf numFmtId="1" fontId="12" fillId="6" borderId="32" xfId="0" applyNumberFormat="1" applyFont="1" applyFill="1" applyBorder="1" applyAlignment="1">
      <alignment horizontal="center" vertical="center" wrapText="1"/>
    </xf>
    <xf numFmtId="9" fontId="12" fillId="6" borderId="32" xfId="0" applyNumberFormat="1" applyFont="1" applyFill="1" applyBorder="1" applyAlignment="1">
      <alignment horizontal="center" vertical="center" wrapText="1"/>
    </xf>
    <xf numFmtId="167" fontId="30" fillId="6" borderId="30" xfId="0" applyNumberFormat="1" applyFont="1" applyFill="1" applyBorder="1" applyAlignment="1">
      <alignment horizontal="center" vertical="center" wrapText="1"/>
    </xf>
    <xf numFmtId="167" fontId="30" fillId="6" borderId="9" xfId="0" applyNumberFormat="1" applyFont="1" applyFill="1" applyBorder="1" applyAlignment="1">
      <alignment horizontal="center" vertical="center" wrapText="1"/>
    </xf>
    <xf numFmtId="2" fontId="30" fillId="6" borderId="9" xfId="0" applyNumberFormat="1" applyFont="1" applyFill="1" applyBorder="1" applyAlignment="1">
      <alignment horizontal="center" vertical="center" wrapText="1"/>
    </xf>
    <xf numFmtId="171" fontId="30" fillId="6" borderId="9" xfId="0" applyNumberFormat="1" applyFont="1" applyFill="1" applyBorder="1" applyAlignment="1">
      <alignment horizontal="center" vertical="center" wrapText="1"/>
    </xf>
    <xf numFmtId="0" fontId="12" fillId="6" borderId="32" xfId="0" applyFont="1" applyFill="1" applyBorder="1" applyAlignment="1">
      <alignment horizontal="center" vertical="center" wrapText="1"/>
    </xf>
    <xf numFmtId="10" fontId="12" fillId="6" borderId="32" xfId="0" applyNumberFormat="1" applyFont="1" applyFill="1" applyBorder="1" applyAlignment="1">
      <alignment horizontal="center" vertical="center" wrapText="1"/>
    </xf>
    <xf numFmtId="183" fontId="12" fillId="6" borderId="32" xfId="0" applyNumberFormat="1" applyFont="1" applyFill="1" applyBorder="1" applyAlignment="1">
      <alignment horizontal="center" vertical="center" wrapText="1"/>
    </xf>
    <xf numFmtId="166" fontId="30" fillId="6" borderId="9" xfId="0" applyNumberFormat="1" applyFont="1" applyFill="1" applyBorder="1" applyAlignment="1">
      <alignment horizontal="center" vertical="center" wrapText="1"/>
    </xf>
    <xf numFmtId="0" fontId="30" fillId="6" borderId="66" xfId="0" applyFont="1" applyFill="1" applyBorder="1" applyAlignment="1">
      <alignment horizontal="left" vertical="center" wrapText="1"/>
    </xf>
    <xf numFmtId="0" fontId="30" fillId="6" borderId="40" xfId="0" applyFont="1" applyFill="1" applyBorder="1" applyAlignment="1">
      <alignment horizontal="center" vertical="center" wrapText="1"/>
    </xf>
    <xf numFmtId="0" fontId="30" fillId="6" borderId="41" xfId="0" applyFont="1" applyFill="1" applyBorder="1" applyAlignment="1">
      <alignment horizontal="center" vertical="center" wrapText="1"/>
    </xf>
    <xf numFmtId="167" fontId="30" fillId="6" borderId="41" xfId="0" applyNumberFormat="1" applyFont="1" applyFill="1" applyBorder="1" applyAlignment="1">
      <alignment horizontal="center" vertical="center" wrapText="1"/>
    </xf>
    <xf numFmtId="2" fontId="30" fillId="6" borderId="41" xfId="0" applyNumberFormat="1" applyFont="1" applyFill="1" applyBorder="1" applyAlignment="1">
      <alignment horizontal="center" vertical="center" wrapText="1"/>
    </xf>
    <xf numFmtId="11" fontId="30" fillId="6" borderId="41" xfId="0" applyNumberFormat="1" applyFont="1" applyFill="1" applyBorder="1" applyAlignment="1">
      <alignment horizontal="center" vertical="center" wrapText="1"/>
    </xf>
    <xf numFmtId="178" fontId="30" fillId="6" borderId="41" xfId="0" applyNumberFormat="1" applyFont="1" applyFill="1" applyBorder="1" applyAlignment="1">
      <alignment horizontal="center" vertical="center" wrapText="1"/>
    </xf>
    <xf numFmtId="0" fontId="12" fillId="6" borderId="35" xfId="0" applyFont="1" applyFill="1" applyBorder="1" applyAlignment="1">
      <alignment horizontal="center" vertical="center" wrapText="1"/>
    </xf>
    <xf numFmtId="10" fontId="12" fillId="6" borderId="66" xfId="0" applyNumberFormat="1" applyFont="1" applyFill="1" applyBorder="1" applyAlignment="1">
      <alignment horizontal="center" vertical="center" wrapText="1"/>
    </xf>
    <xf numFmtId="11" fontId="12" fillId="6" borderId="47" xfId="0" applyNumberFormat="1" applyFont="1" applyFill="1" applyBorder="1" applyAlignment="1">
      <alignment horizontal="center" vertical="center" wrapText="1"/>
    </xf>
    <xf numFmtId="0" fontId="12" fillId="6" borderId="47" xfId="0" applyFont="1" applyFill="1" applyBorder="1" applyAlignment="1" applyProtection="1">
      <alignment horizontal="center" vertical="center" wrapText="1"/>
      <protection locked="0"/>
    </xf>
    <xf numFmtId="11" fontId="12" fillId="6" borderId="1" xfId="0" applyNumberFormat="1" applyFont="1" applyFill="1" applyBorder="1" applyAlignment="1">
      <alignment horizontal="center" vertical="center" wrapText="1"/>
    </xf>
    <xf numFmtId="0" fontId="12" fillId="6" borderId="1" xfId="0" applyFont="1" applyFill="1" applyBorder="1" applyAlignment="1" applyProtection="1">
      <alignment horizontal="center" vertical="center" wrapText="1"/>
      <protection locked="0"/>
    </xf>
    <xf numFmtId="165" fontId="12" fillId="6" borderId="47" xfId="0" applyNumberFormat="1" applyFont="1" applyFill="1" applyBorder="1" applyAlignment="1">
      <alignment horizontal="center"/>
    </xf>
    <xf numFmtId="171" fontId="12" fillId="6" borderId="1" xfId="0" applyNumberFormat="1" applyFont="1" applyFill="1" applyBorder="1" applyAlignment="1">
      <alignment horizontal="center"/>
    </xf>
    <xf numFmtId="0" fontId="12" fillId="26" borderId="68" xfId="0" applyFont="1" applyFill="1" applyBorder="1" applyAlignment="1">
      <alignment horizontal="left" vertical="top"/>
    </xf>
    <xf numFmtId="0" fontId="12" fillId="6" borderId="65" xfId="0" applyFont="1" applyFill="1" applyBorder="1" applyAlignment="1">
      <alignment horizontal="left" vertical="center" wrapText="1"/>
    </xf>
    <xf numFmtId="0" fontId="12" fillId="6" borderId="63" xfId="0" applyFont="1" applyFill="1" applyBorder="1" applyAlignment="1">
      <alignment horizontal="left" vertical="center" wrapText="1"/>
    </xf>
    <xf numFmtId="0" fontId="12" fillId="6" borderId="66" xfId="0" applyFont="1" applyFill="1" applyBorder="1" applyAlignment="1">
      <alignment horizontal="left" vertical="center" wrapText="1"/>
    </xf>
    <xf numFmtId="0" fontId="12" fillId="6" borderId="71" xfId="0" applyFont="1" applyFill="1" applyBorder="1" applyAlignment="1">
      <alignment horizontal="left" vertical="center" wrapText="1"/>
    </xf>
    <xf numFmtId="0" fontId="12" fillId="6" borderId="63" xfId="0" applyFont="1" applyFill="1" applyBorder="1"/>
    <xf numFmtId="0" fontId="12" fillId="6" borderId="66" xfId="0" applyFont="1" applyFill="1" applyBorder="1"/>
    <xf numFmtId="167" fontId="12" fillId="6" borderId="14" xfId="0" applyNumberFormat="1" applyFont="1" applyFill="1" applyBorder="1" applyAlignment="1">
      <alignment horizontal="center" vertical="center" wrapText="1"/>
    </xf>
    <xf numFmtId="0" fontId="30" fillId="6" borderId="14" xfId="0" applyFont="1" applyFill="1" applyBorder="1" applyAlignment="1">
      <alignment horizontal="center" vertical="center" wrapText="1"/>
    </xf>
    <xf numFmtId="1" fontId="30" fillId="6" borderId="14" xfId="0" applyNumberFormat="1" applyFont="1" applyFill="1" applyBorder="1" applyAlignment="1">
      <alignment horizontal="center" vertical="center" wrapText="1"/>
    </xf>
    <xf numFmtId="171" fontId="12" fillId="6" borderId="14" xfId="0" applyNumberFormat="1" applyFont="1" applyFill="1" applyBorder="1" applyAlignment="1">
      <alignment horizontal="center" vertical="center" wrapText="1"/>
    </xf>
    <xf numFmtId="168" fontId="12" fillId="6" borderId="14" xfId="0" applyNumberFormat="1" applyFont="1" applyFill="1" applyBorder="1" applyAlignment="1">
      <alignment horizontal="center" vertical="center" wrapText="1"/>
    </xf>
    <xf numFmtId="1" fontId="12" fillId="6" borderId="14" xfId="0" applyNumberFormat="1" applyFont="1" applyFill="1" applyBorder="1" applyAlignment="1">
      <alignment horizontal="center" vertical="center" wrapText="1"/>
    </xf>
    <xf numFmtId="11" fontId="12" fillId="6" borderId="14" xfId="0" applyNumberFormat="1" applyFont="1" applyFill="1" applyBorder="1" applyAlignment="1">
      <alignment horizontal="center" vertical="center" wrapText="1"/>
    </xf>
    <xf numFmtId="166" fontId="12" fillId="6" borderId="14" xfId="0" applyNumberFormat="1" applyFont="1" applyFill="1" applyBorder="1" applyAlignment="1">
      <alignment horizontal="center" vertical="center" wrapText="1"/>
    </xf>
    <xf numFmtId="1" fontId="30" fillId="6" borderId="24" xfId="0" applyNumberFormat="1" applyFont="1" applyFill="1" applyBorder="1" applyAlignment="1">
      <alignment horizontal="center" vertical="center" wrapText="1"/>
    </xf>
    <xf numFmtId="2" fontId="12" fillId="6" borderId="54" xfId="0" applyNumberFormat="1" applyFont="1" applyFill="1" applyBorder="1" applyAlignment="1">
      <alignment horizontal="center" vertical="center" wrapText="1"/>
    </xf>
    <xf numFmtId="2" fontId="12" fillId="6" borderId="16" xfId="0" applyNumberFormat="1" applyFont="1" applyFill="1" applyBorder="1" applyAlignment="1">
      <alignment horizontal="center"/>
    </xf>
    <xf numFmtId="168" fontId="12" fillId="6" borderId="14" xfId="0" applyNumberFormat="1" applyFont="1" applyFill="1" applyBorder="1" applyAlignment="1">
      <alignment horizontal="center"/>
    </xf>
    <xf numFmtId="177" fontId="12" fillId="6" borderId="54" xfId="0" applyNumberFormat="1" applyFont="1" applyFill="1" applyBorder="1" applyAlignment="1">
      <alignment horizontal="center"/>
    </xf>
    <xf numFmtId="170" fontId="30" fillId="6" borderId="9" xfId="0" applyNumberFormat="1" applyFont="1" applyFill="1" applyBorder="1" applyAlignment="1">
      <alignment horizontal="center" vertical="center" wrapText="1"/>
    </xf>
    <xf numFmtId="165" fontId="30" fillId="6" borderId="9" xfId="0" applyNumberFormat="1" applyFont="1" applyFill="1" applyBorder="1" applyAlignment="1">
      <alignment horizontal="center" vertical="center" wrapText="1"/>
    </xf>
    <xf numFmtId="177" fontId="30" fillId="6" borderId="9" xfId="0" applyNumberFormat="1" applyFont="1" applyFill="1" applyBorder="1" applyAlignment="1">
      <alignment horizontal="center" vertical="center" wrapText="1"/>
    </xf>
    <xf numFmtId="177" fontId="30" fillId="6" borderId="11" xfId="0" applyNumberFormat="1" applyFont="1" applyFill="1" applyBorder="1" applyAlignment="1">
      <alignment horizontal="center" vertical="center" wrapText="1"/>
    </xf>
    <xf numFmtId="182" fontId="30" fillId="6" borderId="63" xfId="11" applyNumberFormat="1" applyFont="1" applyFill="1" applyBorder="1" applyAlignment="1" applyProtection="1">
      <alignment horizontal="center" vertical="center" wrapText="1"/>
      <protection hidden="1"/>
    </xf>
    <xf numFmtId="181" fontId="30" fillId="6" borderId="9" xfId="0" applyNumberFormat="1" applyFont="1" applyFill="1" applyBorder="1" applyAlignment="1">
      <alignment horizontal="center" vertical="center" wrapText="1"/>
    </xf>
    <xf numFmtId="164" fontId="30" fillId="6" borderId="9" xfId="0" applyNumberFormat="1" applyFont="1" applyFill="1" applyBorder="1" applyAlignment="1">
      <alignment horizontal="center" vertical="center" wrapText="1"/>
    </xf>
    <xf numFmtId="166" fontId="12" fillId="6" borderId="9" xfId="0" applyNumberFormat="1" applyFont="1" applyFill="1" applyBorder="1" applyAlignment="1">
      <alignment horizontal="center" vertical="center" wrapText="1"/>
    </xf>
    <xf numFmtId="165" fontId="12" fillId="6" borderId="9" xfId="0" applyNumberFormat="1" applyFont="1" applyFill="1" applyBorder="1" applyAlignment="1">
      <alignment horizontal="center" vertical="center" wrapText="1"/>
    </xf>
    <xf numFmtId="10" fontId="30" fillId="6" borderId="63" xfId="11" applyNumberFormat="1" applyFont="1" applyFill="1" applyBorder="1" applyAlignment="1" applyProtection="1">
      <alignment horizontal="center" vertical="center" wrapText="1"/>
      <protection hidden="1"/>
    </xf>
    <xf numFmtId="180" fontId="30" fillId="6" borderId="63" xfId="11" applyNumberFormat="1" applyFont="1" applyFill="1" applyBorder="1" applyAlignment="1" applyProtection="1">
      <alignment horizontal="center" vertical="center" wrapText="1"/>
      <protection hidden="1"/>
    </xf>
    <xf numFmtId="0" fontId="30" fillId="6" borderId="12" xfId="0" applyFont="1" applyFill="1" applyBorder="1" applyAlignment="1">
      <alignment horizontal="center" vertical="center" wrapText="1"/>
    </xf>
    <xf numFmtId="2" fontId="30" fillId="6" borderId="12" xfId="0" applyNumberFormat="1" applyFont="1" applyFill="1" applyBorder="1" applyAlignment="1">
      <alignment horizontal="center" vertical="center" wrapText="1"/>
    </xf>
    <xf numFmtId="168" fontId="30" fillId="6" borderId="12" xfId="0" applyNumberFormat="1" applyFont="1" applyFill="1" applyBorder="1" applyAlignment="1">
      <alignment horizontal="center" vertical="center" wrapText="1"/>
    </xf>
    <xf numFmtId="165" fontId="30" fillId="6" borderId="12" xfId="0" applyNumberFormat="1" applyFont="1" applyFill="1" applyBorder="1" applyAlignment="1">
      <alignment horizontal="center" vertical="center" wrapText="1"/>
    </xf>
    <xf numFmtId="11" fontId="30" fillId="6" borderId="12" xfId="0" applyNumberFormat="1" applyFont="1" applyFill="1" applyBorder="1" applyAlignment="1">
      <alignment horizontal="center" vertical="center" wrapText="1"/>
    </xf>
    <xf numFmtId="177" fontId="30" fillId="6" borderId="12" xfId="0" applyNumberFormat="1" applyFont="1" applyFill="1" applyBorder="1" applyAlignment="1">
      <alignment horizontal="center" vertical="center" wrapText="1"/>
    </xf>
    <xf numFmtId="177" fontId="30" fillId="6" borderId="23" xfId="0" applyNumberFormat="1" applyFont="1" applyFill="1" applyBorder="1" applyAlignment="1">
      <alignment horizontal="center" vertical="center" wrapText="1"/>
    </xf>
    <xf numFmtId="0" fontId="12" fillId="6" borderId="34" xfId="0" applyFont="1" applyFill="1" applyBorder="1" applyAlignment="1">
      <alignment horizontal="center"/>
    </xf>
    <xf numFmtId="0" fontId="12" fillId="6" borderId="32" xfId="0" applyFont="1" applyFill="1" applyBorder="1"/>
    <xf numFmtId="0" fontId="12" fillId="6" borderId="35" xfId="0" applyFont="1" applyFill="1" applyBorder="1"/>
    <xf numFmtId="0" fontId="14" fillId="4" borderId="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68"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1" xfId="0" applyFont="1" applyFill="1" applyBorder="1" applyAlignment="1">
      <alignment wrapText="1"/>
    </xf>
    <xf numFmtId="0" fontId="12" fillId="4" borderId="68"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68" xfId="0" applyFont="1" applyFill="1" applyBorder="1" applyAlignment="1">
      <alignment horizontal="center" vertical="center" wrapText="1"/>
    </xf>
    <xf numFmtId="0" fontId="40" fillId="4" borderId="18"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4" fillId="4" borderId="42" xfId="0" applyFont="1" applyFill="1" applyBorder="1" applyAlignment="1">
      <alignment horizontal="center"/>
    </xf>
    <xf numFmtId="0" fontId="4" fillId="4" borderId="50" xfId="0" applyFont="1" applyFill="1" applyBorder="1" applyAlignment="1">
      <alignment horizontal="center"/>
    </xf>
    <xf numFmtId="0" fontId="4" fillId="4" borderId="75" xfId="0" applyFont="1" applyFill="1" applyBorder="1" applyAlignment="1">
      <alignment horizontal="center"/>
    </xf>
    <xf numFmtId="0" fontId="4" fillId="4" borderId="65" xfId="0" applyFont="1" applyFill="1" applyBorder="1" applyAlignment="1">
      <alignment horizontal="center" vertical="center"/>
    </xf>
    <xf numFmtId="0" fontId="4" fillId="4" borderId="63" xfId="0" applyFont="1" applyFill="1" applyBorder="1" applyAlignment="1">
      <alignment horizontal="center" vertical="center"/>
    </xf>
    <xf numFmtId="0" fontId="4" fillId="4" borderId="66" xfId="0" applyFont="1" applyFill="1" applyBorder="1" applyAlignment="1">
      <alignment horizontal="center" vertical="center"/>
    </xf>
    <xf numFmtId="14" fontId="30" fillId="4" borderId="65" xfId="0" applyNumberFormat="1" applyFont="1" applyFill="1" applyBorder="1" applyAlignment="1" applyProtection="1">
      <alignment horizontal="center" vertical="center" wrapText="1"/>
      <protection hidden="1"/>
    </xf>
    <xf numFmtId="14" fontId="30" fillId="4" borderId="63" xfId="0" applyNumberFormat="1" applyFont="1" applyFill="1" applyBorder="1" applyAlignment="1" applyProtection="1">
      <alignment horizontal="center" vertical="center" wrapText="1"/>
      <protection hidden="1"/>
    </xf>
    <xf numFmtId="1" fontId="30" fillId="4" borderId="63" xfId="0" applyNumberFormat="1" applyFont="1" applyFill="1" applyBorder="1" applyAlignment="1" applyProtection="1">
      <alignment horizontal="center" vertical="center" wrapText="1"/>
      <protection hidden="1"/>
    </xf>
    <xf numFmtId="1" fontId="30" fillId="4" borderId="66" xfId="0" applyNumberFormat="1"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wrapText="1"/>
      <protection hidden="1"/>
    </xf>
    <xf numFmtId="0" fontId="12" fillId="4" borderId="2"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49" xfId="0" applyFont="1" applyFill="1" applyBorder="1" applyAlignment="1" applyProtection="1">
      <alignment horizontal="center" vertical="center" wrapText="1"/>
      <protection hidden="1"/>
    </xf>
    <xf numFmtId="0" fontId="12" fillId="4" borderId="79" xfId="0" applyFont="1" applyFill="1" applyBorder="1" applyAlignment="1" applyProtection="1">
      <alignment horizontal="center" vertical="center" wrapText="1"/>
      <protection hidden="1"/>
    </xf>
    <xf numFmtId="0" fontId="12" fillId="4" borderId="33" xfId="0" applyFont="1" applyFill="1" applyBorder="1" applyAlignment="1" applyProtection="1">
      <alignment horizontal="center" vertical="center" wrapText="1"/>
      <protection hidden="1"/>
    </xf>
    <xf numFmtId="0" fontId="12" fillId="4" borderId="53" xfId="0" applyFont="1" applyFill="1" applyBorder="1" applyAlignment="1" applyProtection="1">
      <alignment horizontal="center" vertical="center" wrapText="1"/>
      <protection hidden="1"/>
    </xf>
    <xf numFmtId="0" fontId="12" fillId="4" borderId="80" xfId="0" applyFont="1" applyFill="1" applyBorder="1" applyAlignment="1" applyProtection="1">
      <alignment horizontal="center" vertical="center" wrapText="1"/>
      <protection hidden="1"/>
    </xf>
    <xf numFmtId="0" fontId="32" fillId="4" borderId="64" xfId="0" applyFont="1" applyFill="1" applyBorder="1" applyAlignment="1" applyProtection="1">
      <alignment horizontal="center" vertical="center" wrapText="1"/>
      <protection hidden="1"/>
    </xf>
    <xf numFmtId="0" fontId="12" fillId="4" borderId="8" xfId="0" applyFont="1" applyFill="1" applyBorder="1" applyAlignment="1" applyProtection="1">
      <alignment vertical="center" wrapText="1"/>
      <protection hidden="1"/>
    </xf>
    <xf numFmtId="1" fontId="30" fillId="4" borderId="38" xfId="0" applyNumberFormat="1" applyFont="1" applyFill="1" applyBorder="1" applyAlignment="1" applyProtection="1">
      <alignment horizontal="center" vertical="center" wrapText="1"/>
      <protection hidden="1"/>
    </xf>
    <xf numFmtId="166" fontId="30" fillId="4" borderId="9" xfId="0" applyNumberFormat="1" applyFont="1" applyFill="1" applyBorder="1" applyAlignment="1" applyProtection="1">
      <alignment horizontal="center" vertical="center" wrapText="1"/>
      <protection hidden="1"/>
    </xf>
    <xf numFmtId="1" fontId="30" fillId="4" borderId="9" xfId="0" applyNumberFormat="1" applyFont="1" applyFill="1" applyBorder="1" applyAlignment="1" applyProtection="1">
      <alignment horizontal="center" vertical="center" wrapText="1"/>
      <protection hidden="1"/>
    </xf>
    <xf numFmtId="167" fontId="30" fillId="4" borderId="9" xfId="0" applyNumberFormat="1" applyFont="1" applyFill="1" applyBorder="1" applyAlignment="1" applyProtection="1">
      <alignment horizontal="center" vertical="center" wrapText="1"/>
      <protection hidden="1"/>
    </xf>
    <xf numFmtId="2" fontId="30" fillId="4" borderId="9" xfId="0" applyNumberFormat="1" applyFont="1" applyFill="1" applyBorder="1" applyAlignment="1" applyProtection="1">
      <alignment horizontal="center" vertical="center" wrapText="1"/>
      <protection hidden="1"/>
    </xf>
    <xf numFmtId="1" fontId="30" fillId="4" borderId="40" xfId="0" applyNumberFormat="1" applyFont="1" applyFill="1" applyBorder="1" applyAlignment="1" applyProtection="1">
      <alignment horizontal="center" vertical="center" wrapText="1"/>
      <protection hidden="1"/>
    </xf>
    <xf numFmtId="1" fontId="30" fillId="4" borderId="41" xfId="0" applyNumberFormat="1" applyFont="1" applyFill="1" applyBorder="1" applyAlignment="1" applyProtection="1">
      <alignment horizontal="center" vertical="center" wrapText="1"/>
      <protection hidden="1"/>
    </xf>
    <xf numFmtId="0" fontId="30" fillId="4" borderId="38" xfId="0" applyFont="1" applyFill="1" applyBorder="1" applyAlignment="1" applyProtection="1">
      <alignment horizontal="center" vertical="center" wrapText="1"/>
      <protection hidden="1"/>
    </xf>
    <xf numFmtId="11" fontId="30" fillId="4" borderId="9" xfId="0" applyNumberFormat="1" applyFont="1" applyFill="1" applyBorder="1" applyAlignment="1" applyProtection="1">
      <alignment horizontal="center" vertical="center" wrapText="1"/>
      <protection hidden="1"/>
    </xf>
    <xf numFmtId="165" fontId="30" fillId="4" borderId="9" xfId="0" applyNumberFormat="1" applyFont="1" applyFill="1" applyBorder="1" applyAlignment="1" applyProtection="1">
      <alignment horizontal="center" vertical="center" wrapText="1"/>
      <protection hidden="1"/>
    </xf>
    <xf numFmtId="2" fontId="30" fillId="4" borderId="41" xfId="0" applyNumberFormat="1" applyFont="1" applyFill="1" applyBorder="1" applyAlignment="1" applyProtection="1">
      <alignment horizontal="center" vertical="center" wrapText="1"/>
      <protection hidden="1"/>
    </xf>
    <xf numFmtId="2" fontId="30" fillId="4" borderId="38" xfId="0" applyNumberFormat="1" applyFont="1" applyFill="1" applyBorder="1" applyAlignment="1" applyProtection="1">
      <alignment horizontal="center" vertical="center" wrapText="1"/>
      <protection hidden="1"/>
    </xf>
    <xf numFmtId="168" fontId="30" fillId="4" borderId="9" xfId="0" applyNumberFormat="1" applyFont="1" applyFill="1" applyBorder="1" applyAlignment="1" applyProtection="1">
      <alignment horizontal="center" vertical="center" wrapText="1"/>
      <protection hidden="1"/>
    </xf>
    <xf numFmtId="165" fontId="30" fillId="4" borderId="41" xfId="0" applyNumberFormat="1" applyFont="1" applyFill="1" applyBorder="1" applyAlignment="1" applyProtection="1">
      <alignment horizontal="center" vertical="center" wrapText="1"/>
      <protection hidden="1"/>
    </xf>
    <xf numFmtId="166" fontId="30" fillId="4" borderId="38" xfId="0" applyNumberFormat="1" applyFont="1" applyFill="1" applyBorder="1" applyAlignment="1" applyProtection="1">
      <alignment horizontal="center" vertical="center" wrapText="1"/>
      <protection hidden="1"/>
    </xf>
    <xf numFmtId="178" fontId="30" fillId="4" borderId="9" xfId="0" applyNumberFormat="1" applyFont="1" applyFill="1" applyBorder="1" applyAlignment="1" applyProtection="1">
      <alignment horizontal="center" vertical="center" wrapText="1"/>
      <protection hidden="1"/>
    </xf>
    <xf numFmtId="166" fontId="30" fillId="4" borderId="41" xfId="0" applyNumberFormat="1" applyFont="1" applyFill="1" applyBorder="1" applyAlignment="1" applyProtection="1">
      <alignment horizontal="center" vertical="center" wrapText="1"/>
      <protection hidden="1"/>
    </xf>
    <xf numFmtId="0" fontId="30" fillId="4" borderId="9" xfId="0" applyFont="1" applyFill="1" applyBorder="1" applyAlignment="1" applyProtection="1">
      <alignment horizontal="center" vertical="center" wrapText="1"/>
      <protection hidden="1"/>
    </xf>
    <xf numFmtId="0" fontId="30" fillId="4" borderId="41" xfId="0" applyFont="1" applyFill="1" applyBorder="1" applyAlignment="1" applyProtection="1">
      <alignment horizontal="center" vertical="center" wrapText="1"/>
      <protection hidden="1"/>
    </xf>
    <xf numFmtId="0" fontId="30" fillId="4" borderId="20" xfId="0" applyFont="1" applyFill="1" applyBorder="1" applyAlignment="1" applyProtection="1">
      <alignment horizontal="center" vertical="center" wrapText="1"/>
      <protection hidden="1"/>
    </xf>
    <xf numFmtId="0" fontId="30" fillId="4" borderId="19" xfId="0" applyFont="1" applyFill="1" applyBorder="1" applyAlignment="1" applyProtection="1">
      <alignment horizontal="center" vertical="center" wrapText="1"/>
      <protection hidden="1"/>
    </xf>
    <xf numFmtId="2" fontId="30" fillId="6" borderId="30" xfId="0" applyNumberFormat="1" applyFont="1" applyFill="1" applyBorder="1" applyAlignment="1" applyProtection="1">
      <alignment horizontal="center" vertical="center" wrapText="1"/>
      <protection hidden="1"/>
    </xf>
    <xf numFmtId="171" fontId="30" fillId="6" borderId="30" xfId="0" applyNumberFormat="1" applyFont="1" applyFill="1" applyBorder="1" applyAlignment="1" applyProtection="1">
      <alignment horizontal="center" vertical="center" wrapText="1"/>
      <protection hidden="1"/>
    </xf>
    <xf numFmtId="14" fontId="30" fillId="6" borderId="35" xfId="0" applyNumberFormat="1" applyFont="1" applyFill="1" applyBorder="1" applyAlignment="1" applyProtection="1">
      <alignment horizontal="center" vertical="center" wrapText="1"/>
      <protection hidden="1"/>
    </xf>
    <xf numFmtId="167" fontId="30" fillId="6" borderId="21" xfId="0" applyNumberFormat="1" applyFont="1" applyFill="1" applyBorder="1" applyAlignment="1" applyProtection="1">
      <alignment horizontal="center" vertical="center" wrapText="1"/>
      <protection hidden="1"/>
    </xf>
    <xf numFmtId="167" fontId="30" fillId="6" borderId="18" xfId="0" applyNumberFormat="1" applyFont="1" applyFill="1" applyBorder="1" applyAlignment="1" applyProtection="1">
      <alignment horizontal="center" vertical="center" wrapText="1"/>
      <protection hidden="1"/>
    </xf>
    <xf numFmtId="167" fontId="30" fillId="6" borderId="19" xfId="0" applyNumberFormat="1" applyFont="1" applyFill="1" applyBorder="1" applyAlignment="1" applyProtection="1">
      <alignment horizontal="center" vertical="center" wrapText="1"/>
      <protection hidden="1"/>
    </xf>
    <xf numFmtId="2" fontId="30" fillId="6" borderId="57" xfId="0" applyNumberFormat="1" applyFont="1" applyFill="1" applyBorder="1" applyAlignment="1" applyProtection="1">
      <alignment horizontal="center" vertical="center" wrapText="1"/>
      <protection hidden="1"/>
    </xf>
    <xf numFmtId="0" fontId="4" fillId="6" borderId="21" xfId="0" applyFont="1" applyFill="1" applyBorder="1" applyAlignment="1" applyProtection="1">
      <alignment horizontal="center" vertical="center" wrapText="1"/>
      <protection hidden="1"/>
    </xf>
    <xf numFmtId="0" fontId="12" fillId="6" borderId="33" xfId="0" applyFont="1" applyFill="1" applyBorder="1" applyAlignment="1">
      <alignment horizontal="center" vertical="center" wrapText="1"/>
    </xf>
    <xf numFmtId="0" fontId="43" fillId="6" borderId="30" xfId="0" applyFont="1" applyFill="1" applyBorder="1" applyAlignment="1">
      <alignment horizontal="center" vertical="center" wrapText="1"/>
    </xf>
    <xf numFmtId="0" fontId="43" fillId="6" borderId="11" xfId="0" applyFont="1" applyFill="1" applyBorder="1" applyAlignment="1">
      <alignment horizontal="center" vertical="center" wrapText="1"/>
    </xf>
    <xf numFmtId="11" fontId="43" fillId="6" borderId="9" xfId="12" applyNumberFormat="1" applyFont="1" applyFill="1" applyBorder="1" applyAlignment="1">
      <alignment horizontal="center" vertical="center" wrapText="1"/>
    </xf>
    <xf numFmtId="0" fontId="43" fillId="6" borderId="14" xfId="0" applyFont="1" applyFill="1" applyBorder="1" applyAlignment="1">
      <alignment horizontal="center" vertical="center" wrapText="1"/>
    </xf>
    <xf numFmtId="0" fontId="43" fillId="6" borderId="9" xfId="0" applyFont="1" applyFill="1" applyBorder="1" applyAlignment="1">
      <alignment horizontal="center" vertical="center" wrapText="1"/>
    </xf>
    <xf numFmtId="11" fontId="43" fillId="6" borderId="9" xfId="0" applyNumberFormat="1" applyFont="1" applyFill="1" applyBorder="1" applyAlignment="1">
      <alignment horizontal="center" vertical="center" wrapText="1"/>
    </xf>
    <xf numFmtId="1" fontId="44" fillId="6" borderId="32" xfId="0" applyNumberFormat="1" applyFont="1" applyFill="1" applyBorder="1" applyAlignment="1">
      <alignment horizontal="center" vertical="center" wrapText="1"/>
    </xf>
    <xf numFmtId="9" fontId="44" fillId="6" borderId="32" xfId="0" applyNumberFormat="1" applyFont="1" applyFill="1" applyBorder="1" applyAlignment="1">
      <alignment horizontal="center" vertical="center" wrapText="1"/>
    </xf>
    <xf numFmtId="2" fontId="43" fillId="6" borderId="9" xfId="0" applyNumberFormat="1" applyFont="1" applyFill="1" applyBorder="1" applyAlignment="1">
      <alignment horizontal="center" vertical="center" wrapText="1"/>
    </xf>
    <xf numFmtId="1" fontId="43" fillId="6" borderId="9" xfId="0" applyNumberFormat="1" applyFont="1" applyFill="1" applyBorder="1" applyAlignment="1">
      <alignment horizontal="center" vertical="center" wrapText="1"/>
    </xf>
    <xf numFmtId="180" fontId="44" fillId="6" borderId="32" xfId="0" applyNumberFormat="1" applyFont="1" applyFill="1" applyBorder="1" applyAlignment="1">
      <alignment horizontal="center" vertical="center" wrapText="1"/>
    </xf>
    <xf numFmtId="166" fontId="43" fillId="6" borderId="9" xfId="0" applyNumberFormat="1" applyFont="1" applyFill="1" applyBorder="1" applyAlignment="1">
      <alignment horizontal="center" vertical="center" wrapText="1"/>
    </xf>
    <xf numFmtId="167" fontId="43" fillId="6" borderId="9" xfId="0" applyNumberFormat="1" applyFont="1" applyFill="1" applyBorder="1" applyAlignment="1">
      <alignment horizontal="center" vertical="center" wrapText="1"/>
    </xf>
    <xf numFmtId="1" fontId="43" fillId="6" borderId="30" xfId="0" applyNumberFormat="1" applyFont="1" applyFill="1" applyBorder="1" applyAlignment="1">
      <alignment horizontal="center" vertical="center" wrapText="1"/>
    </xf>
    <xf numFmtId="183" fontId="44" fillId="6" borderId="32" xfId="0" applyNumberFormat="1" applyFont="1" applyFill="1" applyBorder="1" applyAlignment="1">
      <alignment horizontal="center" vertical="center" wrapText="1"/>
    </xf>
    <xf numFmtId="165" fontId="44" fillId="6" borderId="9" xfId="0" applyNumberFormat="1" applyFont="1" applyFill="1" applyBorder="1" applyAlignment="1">
      <alignment horizontal="center" vertical="center" wrapText="1"/>
    </xf>
    <xf numFmtId="182" fontId="44" fillId="6" borderId="32" xfId="0" applyNumberFormat="1" applyFont="1" applyFill="1" applyBorder="1" applyAlignment="1">
      <alignment horizontal="center" vertical="center" wrapText="1"/>
    </xf>
    <xf numFmtId="179" fontId="43" fillId="6" borderId="9" xfId="0" applyNumberFormat="1" applyFont="1" applyFill="1" applyBorder="1" applyAlignment="1">
      <alignment horizontal="center" vertical="center" wrapText="1"/>
    </xf>
    <xf numFmtId="184" fontId="44" fillId="6" borderId="32" xfId="0" applyNumberFormat="1" applyFont="1" applyFill="1" applyBorder="1" applyAlignment="1">
      <alignment horizontal="center" vertical="center" wrapText="1"/>
    </xf>
    <xf numFmtId="185" fontId="44" fillId="6" borderId="32" xfId="0" applyNumberFormat="1" applyFont="1" applyFill="1" applyBorder="1" applyAlignment="1">
      <alignment horizontal="center" vertical="center" wrapText="1"/>
    </xf>
    <xf numFmtId="0" fontId="12" fillId="6" borderId="53" xfId="0" applyFont="1" applyFill="1" applyBorder="1" applyAlignment="1">
      <alignment horizontal="center" vertical="center" wrapText="1"/>
    </xf>
    <xf numFmtId="0" fontId="43" fillId="6" borderId="40" xfId="0" applyFont="1" applyFill="1" applyBorder="1" applyAlignment="1">
      <alignment horizontal="center" vertical="center" wrapText="1"/>
    </xf>
    <xf numFmtId="0" fontId="43" fillId="6" borderId="41" xfId="0" applyFont="1" applyFill="1" applyBorder="1" applyAlignment="1">
      <alignment horizontal="center" vertical="center" wrapText="1"/>
    </xf>
    <xf numFmtId="167" fontId="43" fillId="6" borderId="41" xfId="0" applyNumberFormat="1" applyFont="1" applyFill="1" applyBorder="1" applyAlignment="1">
      <alignment horizontal="center" vertical="center" wrapText="1"/>
    </xf>
    <xf numFmtId="2" fontId="43" fillId="6" borderId="41" xfId="0" applyNumberFormat="1" applyFont="1" applyFill="1" applyBorder="1" applyAlignment="1">
      <alignment horizontal="center" vertical="center" wrapText="1"/>
    </xf>
    <xf numFmtId="179" fontId="43" fillId="6" borderId="41" xfId="0" applyNumberFormat="1" applyFont="1" applyFill="1" applyBorder="1" applyAlignment="1">
      <alignment horizontal="center" vertical="center" wrapText="1"/>
    </xf>
    <xf numFmtId="11" fontId="43" fillId="6" borderId="41" xfId="0" applyNumberFormat="1" applyFont="1" applyFill="1" applyBorder="1" applyAlignment="1">
      <alignment horizontal="center" vertical="center" wrapText="1"/>
    </xf>
    <xf numFmtId="1" fontId="44" fillId="6" borderId="35" xfId="0" applyNumberFormat="1" applyFont="1" applyFill="1" applyBorder="1" applyAlignment="1">
      <alignment horizontal="center" vertical="center" wrapText="1"/>
    </xf>
    <xf numFmtId="10" fontId="44" fillId="6" borderId="66" xfId="0" applyNumberFormat="1" applyFont="1" applyFill="1" applyBorder="1" applyAlignment="1">
      <alignment horizontal="center" vertical="center" wrapText="1"/>
    </xf>
    <xf numFmtId="171" fontId="44" fillId="6" borderId="47" xfId="0" applyNumberFormat="1" applyFont="1" applyFill="1" applyBorder="1" applyAlignment="1">
      <alignment horizontal="center" vertical="center" wrapText="1"/>
    </xf>
    <xf numFmtId="11" fontId="44" fillId="6" borderId="47" xfId="0" applyNumberFormat="1" applyFont="1" applyFill="1" applyBorder="1" applyAlignment="1">
      <alignment horizontal="center" vertical="center" wrapText="1"/>
    </xf>
    <xf numFmtId="0" fontId="44" fillId="6" borderId="47" xfId="0" applyFont="1" applyFill="1" applyBorder="1" applyAlignment="1" applyProtection="1">
      <alignment horizontal="center" vertical="center" wrapText="1"/>
      <protection locked="0"/>
    </xf>
    <xf numFmtId="1" fontId="44" fillId="6" borderId="68" xfId="0" applyNumberFormat="1" applyFont="1" applyFill="1" applyBorder="1" applyAlignment="1">
      <alignment horizontal="center" vertical="center" wrapText="1"/>
    </xf>
    <xf numFmtId="167" fontId="44" fillId="6" borderId="68" xfId="0" applyNumberFormat="1" applyFont="1" applyFill="1" applyBorder="1" applyAlignment="1">
      <alignment horizontal="center" vertical="center" wrapText="1"/>
    </xf>
    <xf numFmtId="11" fontId="44" fillId="6" borderId="1" xfId="0" applyNumberFormat="1" applyFont="1" applyFill="1" applyBorder="1" applyAlignment="1">
      <alignment horizontal="center" vertical="center" wrapText="1"/>
    </xf>
    <xf numFmtId="0" fontId="44" fillId="6" borderId="1" xfId="0" applyFont="1" applyFill="1" applyBorder="1" applyAlignment="1" applyProtection="1">
      <alignment horizontal="center" vertical="center" wrapText="1"/>
      <protection locked="0"/>
    </xf>
    <xf numFmtId="14" fontId="30" fillId="6" borderId="21" xfId="0" applyNumberFormat="1" applyFont="1" applyFill="1" applyBorder="1" applyAlignment="1" applyProtection="1">
      <alignment horizontal="center" vertical="center" wrapText="1"/>
      <protection hidden="1"/>
    </xf>
    <xf numFmtId="2" fontId="12" fillId="4" borderId="18" xfId="1" applyNumberFormat="1" applyFont="1" applyFill="1" applyBorder="1" applyAlignment="1" applyProtection="1">
      <alignment horizontal="center" vertical="center"/>
      <protection hidden="1"/>
    </xf>
    <xf numFmtId="2" fontId="12" fillId="4" borderId="21" xfId="1" applyNumberFormat="1" applyFont="1" applyFill="1" applyBorder="1" applyAlignment="1" applyProtection="1">
      <alignment horizontal="center" vertical="center" wrapText="1"/>
      <protection hidden="1"/>
    </xf>
    <xf numFmtId="171" fontId="30" fillId="6" borderId="41" xfId="0" applyNumberFormat="1" applyFont="1" applyFill="1" applyBorder="1" applyAlignment="1" applyProtection="1">
      <alignment horizontal="center" vertical="center" wrapText="1"/>
      <protection hidden="1"/>
    </xf>
    <xf numFmtId="1" fontId="30" fillId="6" borderId="30" xfId="0" applyNumberFormat="1" applyFont="1" applyFill="1" applyBorder="1" applyAlignment="1" applyProtection="1">
      <alignment vertical="center" wrapText="1"/>
      <protection hidden="1"/>
    </xf>
    <xf numFmtId="14" fontId="30" fillId="6" borderId="9" xfId="0" applyNumberFormat="1" applyFont="1" applyFill="1" applyBorder="1" applyAlignment="1" applyProtection="1">
      <alignment horizontal="center" vertical="center"/>
      <protection hidden="1"/>
    </xf>
    <xf numFmtId="169" fontId="30" fillId="6" borderId="39" xfId="0" applyNumberFormat="1" applyFont="1" applyFill="1" applyBorder="1" applyAlignment="1" applyProtection="1">
      <alignment horizontal="center" vertical="center" wrapText="1"/>
      <protection hidden="1"/>
    </xf>
    <xf numFmtId="169" fontId="30" fillId="6" borderId="32" xfId="0" applyNumberFormat="1" applyFont="1" applyFill="1" applyBorder="1" applyAlignment="1" applyProtection="1">
      <alignment horizontal="center" vertical="center" wrapText="1"/>
      <protection hidden="1"/>
    </xf>
    <xf numFmtId="169" fontId="30" fillId="6" borderId="11" xfId="0" applyNumberFormat="1" applyFont="1" applyFill="1" applyBorder="1" applyAlignment="1" applyProtection="1">
      <alignment horizontal="center" vertical="center" wrapText="1"/>
      <protection hidden="1"/>
    </xf>
    <xf numFmtId="169" fontId="30" fillId="6" borderId="35" xfId="0" applyNumberFormat="1" applyFont="1" applyFill="1" applyBorder="1" applyAlignment="1" applyProtection="1">
      <alignment horizontal="center" vertical="center" wrapText="1"/>
      <protection hidden="1"/>
    </xf>
    <xf numFmtId="0" fontId="4" fillId="6" borderId="20" xfId="0" applyFont="1" applyFill="1" applyBorder="1" applyAlignment="1" applyProtection="1">
      <alignment horizontal="center" vertical="center" wrapText="1"/>
      <protection hidden="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1" xfId="0" applyFont="1" applyFill="1" applyBorder="1" applyAlignment="1" applyProtection="1">
      <alignment horizontal="center" vertical="center" wrapText="1"/>
      <protection hidden="1"/>
    </xf>
    <xf numFmtId="0" fontId="12" fillId="6" borderId="35" xfId="0" applyFont="1" applyFill="1" applyBorder="1" applyAlignment="1" applyProtection="1">
      <alignment horizontal="center" vertical="center" wrapText="1"/>
      <protection hidden="1"/>
    </xf>
    <xf numFmtId="0" fontId="82" fillId="18" borderId="6" xfId="0" applyFont="1" applyFill="1" applyBorder="1" applyAlignment="1" applyProtection="1">
      <alignment horizontal="center" vertical="center" wrapText="1"/>
      <protection hidden="1"/>
    </xf>
    <xf numFmtId="167" fontId="30" fillId="6" borderId="32" xfId="0" applyNumberFormat="1" applyFont="1" applyFill="1" applyBorder="1" applyAlignment="1" applyProtection="1">
      <alignment horizontal="center" vertical="center"/>
      <protection hidden="1"/>
    </xf>
    <xf numFmtId="167" fontId="30" fillId="6" borderId="35" xfId="0" applyNumberFormat="1" applyFont="1" applyFill="1" applyBorder="1" applyAlignment="1" applyProtection="1">
      <alignment horizontal="center" vertical="center"/>
      <protection hidden="1"/>
    </xf>
    <xf numFmtId="0" fontId="42" fillId="17" borderId="8" xfId="6" applyFont="1" applyBorder="1" applyAlignment="1" applyProtection="1">
      <alignment horizontal="center" vertical="center" wrapText="1"/>
      <protection locked="0" hidden="1"/>
    </xf>
    <xf numFmtId="164" fontId="30" fillId="4" borderId="9" xfId="0" applyNumberFormat="1" applyFont="1" applyFill="1" applyBorder="1" applyAlignment="1" applyProtection="1">
      <alignment horizontal="center" vertical="center" wrapText="1"/>
      <protection hidden="1"/>
    </xf>
    <xf numFmtId="171" fontId="30" fillId="4" borderId="9" xfId="0" applyNumberFormat="1" applyFont="1" applyFill="1" applyBorder="1" applyAlignment="1" applyProtection="1">
      <alignment horizontal="center" vertical="center" wrapText="1"/>
      <protection hidden="1"/>
    </xf>
    <xf numFmtId="171" fontId="30" fillId="4" borderId="41" xfId="0" applyNumberFormat="1" applyFont="1" applyFill="1" applyBorder="1" applyAlignment="1" applyProtection="1">
      <alignment horizontal="center" vertical="center" wrapText="1"/>
      <protection hidden="1"/>
    </xf>
    <xf numFmtId="165" fontId="30" fillId="6" borderId="30" xfId="0" applyNumberFormat="1" applyFont="1" applyFill="1" applyBorder="1" applyAlignment="1" applyProtection="1">
      <alignment horizontal="center" vertical="center" wrapText="1"/>
      <protection hidden="1"/>
    </xf>
    <xf numFmtId="167" fontId="30" fillId="6" borderId="12" xfId="0" applyNumberFormat="1" applyFont="1" applyFill="1" applyBorder="1" applyAlignment="1" applyProtection="1">
      <alignment horizontal="center" vertical="center" wrapText="1"/>
      <protection hidden="1"/>
    </xf>
    <xf numFmtId="167" fontId="30" fillId="6" borderId="32" xfId="0" applyNumberFormat="1" applyFont="1" applyFill="1" applyBorder="1" applyAlignment="1" applyProtection="1">
      <alignment horizontal="center" vertical="center" wrapText="1"/>
      <protection hidden="1"/>
    </xf>
    <xf numFmtId="167" fontId="30" fillId="6" borderId="57" xfId="0" applyNumberFormat="1" applyFont="1" applyFill="1" applyBorder="1" applyAlignment="1" applyProtection="1">
      <alignment horizontal="center" vertical="center" wrapText="1"/>
      <protection hidden="1"/>
    </xf>
    <xf numFmtId="0" fontId="40" fillId="4" borderId="49"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53" xfId="0" applyFont="1" applyFill="1" applyBorder="1" applyAlignment="1">
      <alignment horizontal="center" vertical="center" wrapText="1"/>
    </xf>
    <xf numFmtId="167" fontId="50" fillId="4" borderId="38" xfId="0" applyNumberFormat="1" applyFont="1" applyFill="1" applyBorder="1" applyAlignment="1">
      <alignment horizontal="center" vertical="center" wrapText="1"/>
    </xf>
    <xf numFmtId="167" fontId="50" fillId="4" borderId="9" xfId="0" applyNumberFormat="1" applyFont="1" applyFill="1" applyBorder="1" applyAlignment="1">
      <alignment horizontal="center" vertical="center" wrapText="1"/>
    </xf>
    <xf numFmtId="166" fontId="50" fillId="4" borderId="9" xfId="0" applyNumberFormat="1" applyFont="1" applyFill="1" applyBorder="1" applyAlignment="1">
      <alignment horizontal="center" vertical="center" wrapText="1"/>
    </xf>
    <xf numFmtId="2" fontId="49" fillId="4" borderId="9" xfId="0" applyNumberFormat="1" applyFont="1" applyFill="1" applyBorder="1" applyAlignment="1">
      <alignment horizontal="center" vertical="center" wrapText="1"/>
    </xf>
    <xf numFmtId="167" fontId="49" fillId="4" borderId="9" xfId="0" applyNumberFormat="1" applyFont="1" applyFill="1" applyBorder="1" applyAlignment="1" applyProtection="1">
      <alignment horizontal="center" vertical="center" wrapText="1"/>
      <protection hidden="1"/>
    </xf>
    <xf numFmtId="0" fontId="49" fillId="4" borderId="9" xfId="0" applyFont="1" applyFill="1" applyBorder="1" applyAlignment="1" applyProtection="1">
      <alignment horizontal="center" vertical="center" wrapText="1"/>
      <protection hidden="1"/>
    </xf>
    <xf numFmtId="167" fontId="50" fillId="4" borderId="41" xfId="0" applyNumberFormat="1" applyFont="1" applyFill="1" applyBorder="1" applyAlignment="1" applyProtection="1">
      <alignment horizontal="center" vertical="center" wrapText="1"/>
      <protection hidden="1"/>
    </xf>
    <xf numFmtId="2" fontId="49" fillId="4" borderId="14" xfId="0" applyNumberFormat="1" applyFont="1" applyFill="1" applyBorder="1" applyAlignment="1">
      <alignment horizontal="center" vertical="center" wrapText="1"/>
    </xf>
    <xf numFmtId="167" fontId="50" fillId="6" borderId="28" xfId="0" applyNumberFormat="1" applyFont="1" applyFill="1" applyBorder="1" applyAlignment="1">
      <alignment horizontal="center" vertical="center" wrapText="1"/>
    </xf>
    <xf numFmtId="167" fontId="50" fillId="6" borderId="17" xfId="0" applyNumberFormat="1" applyFont="1" applyFill="1" applyBorder="1" applyAlignment="1">
      <alignment horizontal="center" vertical="center" wrapText="1"/>
    </xf>
    <xf numFmtId="2" fontId="48" fillId="5" borderId="18" xfId="0" applyNumberFormat="1" applyFont="1" applyFill="1" applyBorder="1" applyAlignment="1">
      <alignment horizontal="center" vertical="center" wrapText="1"/>
    </xf>
    <xf numFmtId="2" fontId="48" fillId="5" borderId="21" xfId="0" applyNumberFormat="1" applyFont="1" applyFill="1" applyBorder="1" applyAlignment="1">
      <alignment horizontal="center" vertical="center" wrapText="1"/>
    </xf>
    <xf numFmtId="2" fontId="48" fillId="5" borderId="19" xfId="0" applyNumberFormat="1" applyFont="1" applyFill="1" applyBorder="1" applyAlignment="1">
      <alignment horizontal="center" vertical="center" wrapText="1"/>
    </xf>
    <xf numFmtId="167" fontId="50" fillId="4" borderId="14" xfId="0" applyNumberFormat="1" applyFont="1" applyFill="1" applyBorder="1" applyAlignment="1">
      <alignment horizontal="center" vertical="center" wrapText="1"/>
    </xf>
    <xf numFmtId="166" fontId="50" fillId="4" borderId="14" xfId="0" applyNumberFormat="1" applyFont="1" applyFill="1" applyBorder="1" applyAlignment="1">
      <alignment horizontal="center" vertical="center" wrapText="1"/>
    </xf>
    <xf numFmtId="2" fontId="49" fillId="5" borderId="37" xfId="0" applyNumberFormat="1" applyFont="1" applyFill="1" applyBorder="1" applyAlignment="1">
      <alignment horizontal="center" vertical="center" wrapText="1"/>
    </xf>
    <xf numFmtId="2" fontId="49" fillId="5" borderId="38" xfId="0" applyNumberFormat="1" applyFont="1" applyFill="1" applyBorder="1" applyAlignment="1">
      <alignment horizontal="center" vertical="center" wrapText="1"/>
    </xf>
    <xf numFmtId="2" fontId="49" fillId="5" borderId="39" xfId="0" applyNumberFormat="1" applyFont="1" applyFill="1" applyBorder="1" applyAlignment="1">
      <alignment horizontal="center" vertical="center" wrapText="1"/>
    </xf>
    <xf numFmtId="2" fontId="49" fillId="5" borderId="40" xfId="0" applyNumberFormat="1" applyFont="1" applyFill="1" applyBorder="1" applyAlignment="1">
      <alignment horizontal="center" vertical="center" wrapText="1"/>
    </xf>
    <xf numFmtId="2" fontId="49" fillId="5" borderId="41" xfId="0" applyNumberFormat="1" applyFont="1" applyFill="1" applyBorder="1" applyAlignment="1">
      <alignment horizontal="center" vertical="center" wrapText="1"/>
    </xf>
    <xf numFmtId="2" fontId="49" fillId="5" borderId="35" xfId="0" applyNumberFormat="1" applyFont="1" applyFill="1" applyBorder="1" applyAlignment="1">
      <alignment horizontal="center" vertical="center" wrapText="1"/>
    </xf>
    <xf numFmtId="167" fontId="50" fillId="4" borderId="45" xfId="0" applyNumberFormat="1" applyFont="1" applyFill="1" applyBorder="1" applyAlignment="1">
      <alignment horizontal="center" vertical="center" wrapText="1"/>
    </xf>
    <xf numFmtId="167" fontId="50" fillId="6" borderId="48" xfId="0" applyNumberFormat="1" applyFont="1" applyFill="1" applyBorder="1" applyAlignment="1">
      <alignment horizontal="center" vertical="center" wrapText="1"/>
    </xf>
    <xf numFmtId="167" fontId="50" fillId="6" borderId="15" xfId="0" applyNumberFormat="1" applyFont="1" applyFill="1" applyBorder="1" applyAlignment="1">
      <alignment horizontal="center" vertical="center" wrapText="1"/>
    </xf>
    <xf numFmtId="166" fontId="50" fillId="6" borderId="48" xfId="0" applyNumberFormat="1" applyFont="1" applyFill="1" applyBorder="1" applyAlignment="1">
      <alignment horizontal="center" vertical="center" wrapText="1"/>
    </xf>
    <xf numFmtId="166" fontId="50" fillId="6" borderId="15" xfId="0" applyNumberFormat="1" applyFont="1" applyFill="1" applyBorder="1" applyAlignment="1">
      <alignment horizontal="center" vertical="center" wrapText="1"/>
    </xf>
    <xf numFmtId="166" fontId="48" fillId="5" borderId="18" xfId="0" applyNumberFormat="1" applyFont="1" applyFill="1" applyBorder="1" applyAlignment="1">
      <alignment horizontal="center" vertical="center" wrapText="1"/>
    </xf>
    <xf numFmtId="166" fontId="48" fillId="5" borderId="21" xfId="0" applyNumberFormat="1" applyFont="1" applyFill="1" applyBorder="1" applyAlignment="1">
      <alignment horizontal="center" vertical="center" wrapText="1"/>
    </xf>
    <xf numFmtId="166" fontId="48" fillId="5" borderId="19" xfId="0" applyNumberFormat="1" applyFont="1" applyFill="1" applyBorder="1" applyAlignment="1">
      <alignment horizontal="center" vertical="center" wrapText="1"/>
    </xf>
    <xf numFmtId="0" fontId="14" fillId="4" borderId="69" xfId="0" applyFont="1" applyFill="1" applyBorder="1" applyAlignment="1">
      <alignment horizontal="center" vertical="center" wrapText="1"/>
    </xf>
    <xf numFmtId="0" fontId="14" fillId="4" borderId="64" xfId="0" applyFont="1" applyFill="1" applyBorder="1" applyAlignment="1">
      <alignment horizontal="center" vertical="center" wrapText="1"/>
    </xf>
    <xf numFmtId="0" fontId="14" fillId="4" borderId="70" xfId="0" applyFont="1" applyFill="1" applyBorder="1" applyAlignment="1">
      <alignment horizontal="center" vertical="center" wrapText="1"/>
    </xf>
    <xf numFmtId="167" fontId="30" fillId="5" borderId="37" xfId="0" applyNumberFormat="1" applyFont="1" applyFill="1" applyBorder="1" applyAlignment="1" applyProtection="1">
      <alignment horizontal="center" vertical="center" wrapText="1"/>
      <protection locked="0" hidden="1"/>
    </xf>
    <xf numFmtId="167" fontId="30" fillId="5" borderId="38" xfId="0" applyNumberFormat="1" applyFont="1" applyFill="1" applyBorder="1" applyAlignment="1" applyProtection="1">
      <alignment horizontal="center" vertical="center" wrapText="1"/>
      <protection locked="0" hidden="1"/>
    </xf>
    <xf numFmtId="167" fontId="30" fillId="5" borderId="39" xfId="0" applyNumberFormat="1" applyFont="1" applyFill="1" applyBorder="1" applyAlignment="1" applyProtection="1">
      <alignment horizontal="center" vertical="center" wrapText="1"/>
      <protection locked="0" hidden="1"/>
    </xf>
    <xf numFmtId="165" fontId="14" fillId="4" borderId="65" xfId="0" applyNumberFormat="1" applyFont="1" applyFill="1" applyBorder="1" applyAlignment="1">
      <alignment horizontal="center" vertical="center" wrapText="1"/>
    </xf>
    <xf numFmtId="165" fontId="14" fillId="4" borderId="63" xfId="0" applyNumberFormat="1" applyFont="1" applyFill="1" applyBorder="1" applyAlignment="1">
      <alignment horizontal="center" vertical="center" wrapText="1"/>
    </xf>
    <xf numFmtId="165" fontId="12" fillId="4" borderId="63" xfId="0" applyNumberFormat="1" applyFont="1" applyFill="1" applyBorder="1" applyAlignment="1">
      <alignment horizontal="center" vertical="center" wrapText="1"/>
    </xf>
    <xf numFmtId="165" fontId="14" fillId="4" borderId="66" xfId="0" applyNumberFormat="1" applyFont="1" applyFill="1" applyBorder="1" applyAlignment="1">
      <alignment horizontal="center" vertical="center" wrapText="1"/>
    </xf>
    <xf numFmtId="167" fontId="12" fillId="6" borderId="45" xfId="0" applyNumberFormat="1" applyFont="1" applyFill="1" applyBorder="1" applyAlignment="1">
      <alignment horizontal="center" vertical="center" wrapText="1"/>
    </xf>
    <xf numFmtId="0" fontId="12" fillId="4" borderId="68" xfId="0" applyFont="1" applyFill="1" applyBorder="1" applyAlignment="1" applyProtection="1">
      <alignment horizontal="center" vertical="center" wrapText="1"/>
      <protection hidden="1"/>
    </xf>
    <xf numFmtId="0" fontId="12" fillId="4" borderId="67" xfId="0" applyFont="1" applyFill="1" applyBorder="1" applyAlignment="1" applyProtection="1">
      <alignment horizontal="center" vertical="center" wrapText="1"/>
      <protection hidden="1"/>
    </xf>
    <xf numFmtId="0" fontId="12" fillId="4" borderId="71" xfId="0" applyFont="1" applyFill="1" applyBorder="1" applyAlignment="1" applyProtection="1">
      <alignment horizontal="center" vertical="center" wrapText="1"/>
      <protection hidden="1"/>
    </xf>
    <xf numFmtId="0" fontId="12" fillId="4" borderId="82" xfId="0" applyFont="1" applyFill="1" applyBorder="1" applyAlignment="1" applyProtection="1">
      <alignment horizontal="center" vertical="center" wrapText="1"/>
      <protection hidden="1"/>
    </xf>
    <xf numFmtId="0" fontId="12" fillId="4" borderId="63" xfId="0" applyFont="1" applyFill="1" applyBorder="1" applyAlignment="1" applyProtection="1">
      <alignment horizontal="center" vertical="center" wrapText="1"/>
      <protection hidden="1"/>
    </xf>
    <xf numFmtId="0" fontId="12" fillId="4" borderId="66" xfId="0" applyFont="1" applyFill="1" applyBorder="1" applyAlignment="1" applyProtection="1">
      <alignment horizontal="center" vertical="center" wrapText="1"/>
      <protection hidden="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21" borderId="41" xfId="0" applyFont="1" applyFill="1" applyBorder="1" applyAlignment="1">
      <alignment horizontal="center" vertical="center" wrapText="1"/>
    </xf>
    <xf numFmtId="2" fontId="22" fillId="4" borderId="18" xfId="1" applyNumberFormat="1" applyFont="1" applyFill="1" applyBorder="1" applyAlignment="1" applyProtection="1">
      <alignment horizontal="center" vertical="center"/>
      <protection hidden="1"/>
    </xf>
    <xf numFmtId="2" fontId="22" fillId="4" borderId="21" xfId="1" applyNumberFormat="1" applyFont="1" applyFill="1" applyBorder="1" applyAlignment="1" applyProtection="1">
      <alignment horizontal="center" vertical="center" wrapText="1"/>
      <protection hidden="1"/>
    </xf>
    <xf numFmtId="2" fontId="14" fillId="4" borderId="21" xfId="1" applyNumberFormat="1" applyFont="1" applyFill="1" applyBorder="1" applyAlignment="1" applyProtection="1">
      <alignment horizontal="center" vertical="center" wrapText="1"/>
      <protection hidden="1"/>
    </xf>
    <xf numFmtId="14" fontId="15" fillId="6" borderId="21" xfId="0" applyNumberFormat="1" applyFont="1" applyFill="1" applyBorder="1" applyAlignment="1" applyProtection="1">
      <alignment horizontal="center" vertical="center" wrapText="1"/>
      <protection hidden="1"/>
    </xf>
    <xf numFmtId="1" fontId="15" fillId="6" borderId="42" xfId="0" applyNumberFormat="1" applyFont="1" applyFill="1" applyBorder="1" applyAlignment="1" applyProtection="1">
      <alignment horizontal="center" vertical="center" wrapText="1"/>
      <protection hidden="1"/>
    </xf>
    <xf numFmtId="1" fontId="15" fillId="6" borderId="50" xfId="0" applyNumberFormat="1" applyFont="1" applyFill="1" applyBorder="1" applyAlignment="1" applyProtection="1">
      <alignment horizontal="center" vertical="center" wrapText="1"/>
      <protection hidden="1"/>
    </xf>
    <xf numFmtId="2" fontId="15" fillId="6" borderId="50" xfId="0" applyNumberFormat="1" applyFont="1" applyFill="1" applyBorder="1" applyAlignment="1" applyProtection="1">
      <alignment horizontal="center" vertical="center" wrapText="1"/>
      <protection hidden="1"/>
    </xf>
    <xf numFmtId="167" fontId="15" fillId="6" borderId="50" xfId="0" applyNumberFormat="1" applyFont="1" applyFill="1" applyBorder="1" applyAlignment="1" applyProtection="1">
      <alignment horizontal="center" vertical="center" wrapText="1"/>
      <protection hidden="1"/>
    </xf>
    <xf numFmtId="0" fontId="8" fillId="4" borderId="18" xfId="0" applyFont="1" applyFill="1" applyBorder="1" applyAlignment="1" applyProtection="1">
      <alignment horizontal="center" vertical="center" wrapText="1"/>
      <protection hidden="1"/>
    </xf>
    <xf numFmtId="0" fontId="8" fillId="4" borderId="21" xfId="0" applyFont="1" applyFill="1" applyBorder="1" applyAlignment="1" applyProtection="1">
      <alignment horizontal="center" vertical="center" wrapText="1"/>
      <protection hidden="1"/>
    </xf>
    <xf numFmtId="0" fontId="8" fillId="4" borderId="21" xfId="0" applyFont="1" applyFill="1" applyBorder="1" applyAlignment="1" applyProtection="1">
      <alignment horizontal="center" vertical="center"/>
      <protection hidden="1"/>
    </xf>
    <xf numFmtId="0" fontId="4" fillId="6" borderId="19" xfId="0" applyFont="1" applyFill="1" applyBorder="1" applyAlignment="1" applyProtection="1">
      <alignment horizontal="center" vertical="center"/>
      <protection hidden="1"/>
    </xf>
    <xf numFmtId="168" fontId="4" fillId="4" borderId="67" xfId="0" applyNumberFormat="1" applyFont="1" applyFill="1" applyBorder="1" applyAlignment="1" applyProtection="1">
      <alignment vertical="center"/>
      <protection hidden="1"/>
    </xf>
    <xf numFmtId="166" fontId="4" fillId="6" borderId="3" xfId="0" applyNumberFormat="1" applyFont="1" applyFill="1" applyBorder="1" applyAlignment="1" applyProtection="1">
      <alignment horizontal="center" vertical="center" wrapText="1"/>
      <protection hidden="1"/>
    </xf>
    <xf numFmtId="0" fontId="4" fillId="6" borderId="45" xfId="0" applyFont="1" applyFill="1" applyBorder="1" applyAlignment="1" applyProtection="1">
      <alignment horizontal="center" vertical="center" wrapText="1"/>
      <protection hidden="1"/>
    </xf>
    <xf numFmtId="165" fontId="4" fillId="6" borderId="14" xfId="0" applyNumberFormat="1" applyFont="1" applyFill="1" applyBorder="1" applyAlignment="1" applyProtection="1">
      <alignment horizontal="center" vertical="center" wrapText="1"/>
      <protection hidden="1"/>
    </xf>
    <xf numFmtId="0" fontId="4" fillId="6" borderId="54" xfId="0" applyFont="1" applyFill="1" applyBorder="1" applyAlignment="1" applyProtection="1">
      <alignment vertical="top" wrapText="1"/>
      <protection hidden="1"/>
    </xf>
    <xf numFmtId="0" fontId="4" fillId="6" borderId="45" xfId="0" applyFont="1" applyFill="1" applyBorder="1" applyAlignment="1" applyProtection="1">
      <alignment vertical="top" wrapText="1"/>
      <protection hidden="1"/>
    </xf>
    <xf numFmtId="0" fontId="4" fillId="6" borderId="61" xfId="0" applyFont="1" applyFill="1" applyBorder="1" applyAlignment="1" applyProtection="1">
      <alignment vertical="top" wrapText="1"/>
      <protection hidden="1"/>
    </xf>
    <xf numFmtId="0" fontId="44" fillId="4" borderId="1" xfId="0" applyFont="1" applyFill="1" applyBorder="1" applyAlignment="1">
      <alignment horizontal="right" vertical="center"/>
    </xf>
    <xf numFmtId="0" fontId="12" fillId="4" borderId="9" xfId="0" applyFont="1" applyFill="1" applyBorder="1" applyAlignment="1" applyProtection="1">
      <alignment horizontal="center" vertical="center" wrapText="1"/>
      <protection hidden="1"/>
    </xf>
    <xf numFmtId="0" fontId="12" fillId="4" borderId="32" xfId="0" applyFont="1" applyFill="1" applyBorder="1" applyAlignment="1" applyProtection="1">
      <alignment horizontal="center" vertical="center" wrapText="1"/>
      <protection hidden="1"/>
    </xf>
    <xf numFmtId="0" fontId="30" fillId="4" borderId="8" xfId="0" applyFont="1" applyFill="1" applyBorder="1" applyAlignment="1" applyProtection="1">
      <alignment horizontal="center" vertical="center" wrapText="1"/>
      <protection hidden="1"/>
    </xf>
    <xf numFmtId="0" fontId="40" fillId="4" borderId="1" xfId="0" applyFont="1" applyFill="1" applyBorder="1" applyAlignment="1">
      <alignment horizontal="center"/>
    </xf>
    <xf numFmtId="0" fontId="12" fillId="21" borderId="6" xfId="0" applyFont="1" applyFill="1" applyBorder="1" applyAlignment="1" applyProtection="1">
      <alignment horizontal="center" vertical="center"/>
      <protection hidden="1"/>
    </xf>
    <xf numFmtId="0" fontId="30" fillId="21" borderId="65" xfId="0" applyFont="1" applyFill="1" applyBorder="1" applyAlignment="1" applyProtection="1">
      <alignment horizontal="center" vertical="center" wrapText="1"/>
      <protection hidden="1"/>
    </xf>
    <xf numFmtId="0" fontId="30" fillId="21" borderId="63" xfId="0" applyFont="1" applyFill="1" applyBorder="1" applyAlignment="1" applyProtection="1">
      <alignment horizontal="center" vertical="center" wrapText="1"/>
      <protection hidden="1"/>
    </xf>
    <xf numFmtId="0" fontId="30" fillId="21" borderId="66" xfId="0" applyFont="1" applyFill="1" applyBorder="1" applyAlignment="1" applyProtection="1">
      <alignment horizontal="center" vertical="center" wrapText="1"/>
      <protection hidden="1"/>
    </xf>
    <xf numFmtId="0" fontId="12" fillId="21" borderId="1" xfId="0" applyFont="1" applyFill="1" applyBorder="1" applyAlignment="1" applyProtection="1">
      <alignment horizontal="center" vertical="center"/>
      <protection hidden="1"/>
    </xf>
    <xf numFmtId="0" fontId="12" fillId="4" borderId="1" xfId="0" applyFont="1" applyFill="1" applyBorder="1" applyAlignment="1" applyProtection="1">
      <alignment horizontal="center" vertical="center"/>
      <protection hidden="1"/>
    </xf>
    <xf numFmtId="0" fontId="30" fillId="4" borderId="37" xfId="0" applyFont="1" applyFill="1" applyBorder="1" applyProtection="1">
      <protection hidden="1"/>
    </xf>
    <xf numFmtId="0" fontId="30" fillId="4" borderId="38" xfId="0" applyFont="1" applyFill="1" applyBorder="1" applyAlignment="1" applyProtection="1">
      <alignment horizontal="center" vertical="center"/>
      <protection hidden="1"/>
    </xf>
    <xf numFmtId="0" fontId="30" fillId="4" borderId="39" xfId="0" applyFont="1" applyFill="1" applyBorder="1" applyAlignment="1" applyProtection="1">
      <alignment horizontal="center" vertical="center"/>
      <protection hidden="1"/>
    </xf>
    <xf numFmtId="2" fontId="12" fillId="4" borderId="1" xfId="1" applyNumberFormat="1" applyFont="1" applyFill="1" applyBorder="1" applyAlignment="1" applyProtection="1">
      <alignment horizontal="center" vertical="center" wrapText="1"/>
      <protection hidden="1"/>
    </xf>
    <xf numFmtId="2" fontId="12" fillId="4" borderId="19" xfId="1" applyNumberFormat="1" applyFont="1" applyFill="1" applyBorder="1" applyAlignment="1" applyProtection="1">
      <alignment horizontal="center" vertical="center" wrapText="1"/>
      <protection hidden="1"/>
    </xf>
    <xf numFmtId="2" fontId="12" fillId="4" borderId="70" xfId="1" applyNumberFormat="1" applyFont="1" applyFill="1" applyBorder="1" applyAlignment="1" applyProtection="1">
      <alignment horizontal="center" vertical="center" wrapText="1"/>
      <protection hidden="1"/>
    </xf>
    <xf numFmtId="2" fontId="12" fillId="4" borderId="2" xfId="1" applyNumberFormat="1" applyFont="1" applyFill="1" applyBorder="1" applyAlignment="1" applyProtection="1">
      <alignment horizontal="center" vertical="center" wrapText="1"/>
      <protection hidden="1"/>
    </xf>
    <xf numFmtId="2" fontId="12" fillId="4" borderId="69" xfId="1" applyNumberFormat="1" applyFont="1" applyFill="1" applyBorder="1" applyAlignment="1" applyProtection="1">
      <alignment horizontal="center" vertical="center" wrapText="1"/>
      <protection hidden="1"/>
    </xf>
    <xf numFmtId="2" fontId="12" fillId="4" borderId="64" xfId="1" applyNumberFormat="1" applyFont="1" applyFill="1" applyBorder="1" applyAlignment="1" applyProtection="1">
      <alignment horizontal="center" vertical="center" wrapText="1"/>
      <protection hidden="1"/>
    </xf>
    <xf numFmtId="0" fontId="12" fillId="4" borderId="50" xfId="0" applyFont="1" applyFill="1" applyBorder="1" applyAlignment="1" applyProtection="1">
      <alignment horizontal="center" vertical="center"/>
      <protection hidden="1"/>
    </xf>
    <xf numFmtId="0" fontId="12" fillId="4" borderId="75" xfId="0" applyFont="1" applyFill="1" applyBorder="1" applyAlignment="1" applyProtection="1">
      <alignment horizontal="center" vertical="center" wrapText="1"/>
      <protection hidden="1"/>
    </xf>
    <xf numFmtId="14" fontId="20" fillId="4" borderId="38" xfId="0" applyNumberFormat="1" applyFont="1" applyFill="1" applyBorder="1" applyAlignment="1" applyProtection="1">
      <alignment horizontal="center" vertical="center" wrapText="1"/>
      <protection hidden="1"/>
    </xf>
    <xf numFmtId="0" fontId="20" fillId="4" borderId="9" xfId="0" applyFont="1" applyFill="1" applyBorder="1" applyAlignment="1" applyProtection="1">
      <alignment horizontal="center" vertical="center" wrapText="1"/>
      <protection hidden="1"/>
    </xf>
    <xf numFmtId="0" fontId="20" fillId="4" borderId="41" xfId="0" applyFont="1" applyFill="1" applyBorder="1" applyAlignment="1" applyProtection="1">
      <alignment horizontal="center" vertical="center" wrapText="1"/>
      <protection hidden="1"/>
    </xf>
    <xf numFmtId="0" fontId="30" fillId="4" borderId="37" xfId="0" applyFont="1" applyFill="1" applyBorder="1" applyAlignment="1" applyProtection="1">
      <alignment horizontal="center" vertical="center"/>
      <protection hidden="1"/>
    </xf>
    <xf numFmtId="0" fontId="30" fillId="4" borderId="48" xfId="0" applyFont="1" applyFill="1" applyBorder="1" applyAlignment="1" applyProtection="1">
      <alignment horizontal="center"/>
      <protection hidden="1"/>
    </xf>
    <xf numFmtId="0" fontId="30" fillId="4" borderId="62" xfId="0" applyFont="1" applyFill="1" applyBorder="1" applyAlignment="1" applyProtection="1">
      <alignment horizontal="center"/>
      <protection hidden="1"/>
    </xf>
    <xf numFmtId="0" fontId="30" fillId="12" borderId="29" xfId="0" applyFont="1" applyFill="1" applyBorder="1" applyAlignment="1" applyProtection="1">
      <alignment horizontal="center" vertical="center" wrapText="1"/>
      <protection hidden="1"/>
    </xf>
    <xf numFmtId="166" fontId="30" fillId="12" borderId="37" xfId="0" applyNumberFormat="1" applyFont="1" applyFill="1" applyBorder="1" applyAlignment="1" applyProtection="1">
      <alignment horizontal="center" vertical="center"/>
      <protection hidden="1"/>
    </xf>
    <xf numFmtId="166" fontId="30" fillId="12" borderId="9" xfId="0" applyNumberFormat="1" applyFont="1" applyFill="1" applyBorder="1" applyAlignment="1" applyProtection="1">
      <alignment horizontal="center" vertical="center"/>
      <protection hidden="1"/>
    </xf>
    <xf numFmtId="166" fontId="30" fillId="12" borderId="40" xfId="0" applyNumberFormat="1" applyFont="1" applyFill="1" applyBorder="1" applyAlignment="1" applyProtection="1">
      <alignment horizontal="center" vertical="center"/>
      <protection hidden="1"/>
    </xf>
    <xf numFmtId="0" fontId="2" fillId="2" borderId="7" xfId="0" applyFont="1" applyFill="1" applyBorder="1" applyAlignment="1" applyProtection="1">
      <alignment vertical="center" wrapText="1"/>
      <protection hidden="1"/>
    </xf>
    <xf numFmtId="0" fontId="2" fillId="0" borderId="0" xfId="0" applyFont="1" applyAlignment="1" applyProtection="1">
      <alignment vertical="center" wrapText="1"/>
      <protection locked="0" hidden="1"/>
    </xf>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166" fontId="2" fillId="0" borderId="0" xfId="0" applyNumberFormat="1" applyFont="1" applyAlignment="1" applyProtection="1">
      <alignment vertical="center" wrapText="1"/>
      <protection hidden="1"/>
    </xf>
    <xf numFmtId="2" fontId="2" fillId="0" borderId="0" xfId="0" applyNumberFormat="1" applyFont="1" applyAlignment="1" applyProtection="1">
      <alignment vertical="center" wrapText="1"/>
      <protection hidden="1"/>
    </xf>
    <xf numFmtId="0" fontId="2" fillId="0" borderId="0" xfId="0" applyFont="1" applyAlignment="1" applyProtection="1">
      <alignment wrapText="1"/>
      <protection hidden="1"/>
    </xf>
    <xf numFmtId="0" fontId="2" fillId="0" borderId="0" xfId="0" applyFont="1" applyAlignment="1" applyProtection="1">
      <alignment vertical="center"/>
      <protection hidden="1"/>
    </xf>
    <xf numFmtId="0" fontId="2" fillId="0" borderId="0" xfId="0" applyFont="1"/>
    <xf numFmtId="2" fontId="2" fillId="6" borderId="18" xfId="0" applyNumberFormat="1" applyFont="1" applyFill="1" applyBorder="1" applyAlignment="1">
      <alignment horizontal="center" vertical="center"/>
    </xf>
    <xf numFmtId="2" fontId="2" fillId="6" borderId="21" xfId="0" applyNumberFormat="1" applyFont="1" applyFill="1" applyBorder="1" applyAlignment="1">
      <alignment horizontal="center" vertical="center"/>
    </xf>
    <xf numFmtId="2" fontId="2" fillId="6" borderId="19" xfId="0" applyNumberFormat="1" applyFont="1" applyFill="1" applyBorder="1" applyAlignment="1">
      <alignment horizontal="center" vertical="center"/>
    </xf>
    <xf numFmtId="2" fontId="2" fillId="6" borderId="45" xfId="0" applyNumberFormat="1" applyFont="1" applyFill="1" applyBorder="1" applyAlignment="1">
      <alignment horizontal="center" vertical="center"/>
    </xf>
    <xf numFmtId="166" fontId="2" fillId="0" borderId="17" xfId="0" applyNumberFormat="1" applyFont="1" applyBorder="1" applyAlignment="1">
      <alignment horizontal="center" vertical="center"/>
    </xf>
    <xf numFmtId="166" fontId="2" fillId="0" borderId="34" xfId="0" applyNumberFormat="1" applyFont="1" applyBorder="1" applyAlignment="1">
      <alignment horizontal="center" vertical="center"/>
    </xf>
    <xf numFmtId="2" fontId="2" fillId="6" borderId="14" xfId="0" applyNumberFormat="1" applyFont="1" applyFill="1" applyBorder="1" applyAlignment="1">
      <alignment horizontal="center" vertical="center"/>
    </xf>
    <xf numFmtId="166" fontId="2" fillId="6" borderId="9" xfId="0" applyNumberFormat="1" applyFont="1" applyFill="1" applyBorder="1" applyAlignment="1">
      <alignment horizontal="center" vertical="center"/>
    </xf>
    <xf numFmtId="166" fontId="2" fillId="0" borderId="9" xfId="0" applyNumberFormat="1" applyFont="1" applyBorder="1" applyAlignment="1">
      <alignment horizontal="center" vertical="center"/>
    </xf>
    <xf numFmtId="166" fontId="2" fillId="0" borderId="32" xfId="0" applyNumberFormat="1" applyFont="1" applyBorder="1" applyAlignment="1">
      <alignment horizontal="center" vertical="center"/>
    </xf>
    <xf numFmtId="2" fontId="2" fillId="6" borderId="54" xfId="0" applyNumberFormat="1" applyFont="1" applyFill="1" applyBorder="1" applyAlignment="1">
      <alignment horizontal="center" vertical="center"/>
    </xf>
    <xf numFmtId="166" fontId="2" fillId="6" borderId="41" xfId="0" applyNumberFormat="1" applyFont="1" applyFill="1" applyBorder="1" applyAlignment="1">
      <alignment horizontal="center" vertical="center"/>
    </xf>
    <xf numFmtId="166" fontId="2" fillId="0" borderId="35" xfId="0" applyNumberFormat="1" applyFont="1" applyBorder="1" applyAlignment="1">
      <alignment horizontal="center" vertical="center"/>
    </xf>
    <xf numFmtId="0" fontId="2" fillId="2" borderId="0" xfId="0" applyFont="1" applyFill="1" applyAlignment="1" applyProtection="1">
      <alignment vertical="center" wrapText="1"/>
      <protection hidden="1"/>
    </xf>
    <xf numFmtId="0" fontId="2" fillId="0" borderId="0" xfId="0" applyFont="1" applyProtection="1">
      <protection hidden="1"/>
    </xf>
    <xf numFmtId="165" fontId="2" fillId="0" borderId="0" xfId="0" applyNumberFormat="1" applyFont="1" applyProtection="1">
      <protection hidden="1"/>
    </xf>
    <xf numFmtId="0" fontId="2" fillId="4" borderId="20" xfId="0" applyFont="1" applyFill="1" applyBorder="1" applyAlignment="1" applyProtection="1">
      <alignment vertical="center"/>
      <protection hidden="1"/>
    </xf>
    <xf numFmtId="0" fontId="2" fillId="4" borderId="21" xfId="0" applyFont="1" applyFill="1" applyBorder="1" applyAlignment="1" applyProtection="1">
      <alignment vertical="center" wrapText="1"/>
      <protection hidden="1"/>
    </xf>
    <xf numFmtId="0" fontId="2" fillId="0" borderId="0" xfId="0" applyFont="1" applyAlignment="1">
      <alignment wrapText="1"/>
    </xf>
    <xf numFmtId="2" fontId="2" fillId="21" borderId="37" xfId="0" applyNumberFormat="1" applyFont="1" applyFill="1" applyBorder="1" applyAlignment="1">
      <alignment horizontal="center" vertical="center" wrapText="1"/>
    </xf>
    <xf numFmtId="0" fontId="2" fillId="21" borderId="38" xfId="0" applyFont="1" applyFill="1" applyBorder="1" applyAlignment="1">
      <alignment horizontal="center" vertical="center" wrapText="1"/>
    </xf>
    <xf numFmtId="2" fontId="2" fillId="21" borderId="30" xfId="0" applyNumberFormat="1" applyFont="1" applyFill="1" applyBorder="1" applyAlignment="1">
      <alignment horizontal="center" vertical="center" wrapText="1"/>
    </xf>
    <xf numFmtId="2" fontId="2" fillId="21" borderId="9" xfId="0" applyNumberFormat="1" applyFont="1" applyFill="1" applyBorder="1" applyAlignment="1">
      <alignment horizontal="center" vertical="center" wrapText="1"/>
    </xf>
    <xf numFmtId="167" fontId="2" fillId="21" borderId="9" xfId="0" applyNumberFormat="1" applyFont="1" applyFill="1" applyBorder="1" applyAlignment="1">
      <alignment horizontal="center" vertical="center" wrapText="1"/>
    </xf>
    <xf numFmtId="9" fontId="2" fillId="21" borderId="9" xfId="11" applyFont="1" applyFill="1" applyBorder="1" applyAlignment="1">
      <alignment horizontal="center" vertical="center" wrapText="1"/>
    </xf>
    <xf numFmtId="9" fontId="2" fillId="21" borderId="32" xfId="11" applyFont="1" applyFill="1" applyBorder="1" applyAlignment="1">
      <alignment horizontal="center" vertical="center" wrapText="1"/>
    </xf>
    <xf numFmtId="0" fontId="2" fillId="21" borderId="9" xfId="0" applyFont="1" applyFill="1" applyBorder="1" applyAlignment="1">
      <alignment horizontal="center" vertical="center" wrapText="1"/>
    </xf>
    <xf numFmtId="9" fontId="2" fillId="21" borderId="32" xfId="0" applyNumberFormat="1" applyFont="1" applyFill="1" applyBorder="1" applyAlignment="1">
      <alignment horizontal="center" vertical="center" wrapText="1"/>
    </xf>
    <xf numFmtId="2" fontId="2" fillId="21" borderId="40" xfId="0" applyNumberFormat="1" applyFont="1" applyFill="1" applyBorder="1" applyAlignment="1">
      <alignment horizontal="center" vertical="center" wrapText="1"/>
    </xf>
    <xf numFmtId="0" fontId="2" fillId="21" borderId="41" xfId="0" applyFont="1" applyFill="1" applyBorder="1" applyAlignment="1">
      <alignment horizontal="center" vertical="center" wrapText="1"/>
    </xf>
    <xf numFmtId="167" fontId="2" fillId="21"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167" fontId="2" fillId="21" borderId="28" xfId="0" applyNumberFormat="1" applyFont="1" applyFill="1" applyBorder="1" applyAlignment="1">
      <alignment horizontal="center" vertical="center" wrapText="1"/>
    </xf>
    <xf numFmtId="0" fontId="2" fillId="21" borderId="34" xfId="0" applyFont="1" applyFill="1" applyBorder="1" applyAlignment="1">
      <alignment horizontal="center" vertical="center" wrapText="1"/>
    </xf>
    <xf numFmtId="9" fontId="2" fillId="21" borderId="38" xfId="11" applyFont="1" applyFill="1" applyBorder="1" applyAlignment="1">
      <alignment horizontal="center" vertical="center" wrapText="1"/>
    </xf>
    <xf numFmtId="9" fontId="2" fillId="21" borderId="39" xfId="11" applyFont="1" applyFill="1" applyBorder="1" applyAlignment="1">
      <alignment horizontal="center" vertical="center" wrapText="1"/>
    </xf>
    <xf numFmtId="0" fontId="2" fillId="21" borderId="30" xfId="0" applyFont="1" applyFill="1" applyBorder="1" applyAlignment="1">
      <alignment horizontal="center" vertical="center" wrapText="1"/>
    </xf>
    <xf numFmtId="0" fontId="2" fillId="21" borderId="32" xfId="0" applyFont="1" applyFill="1" applyBorder="1" applyAlignment="1">
      <alignment horizontal="center" vertical="center" wrapText="1"/>
    </xf>
    <xf numFmtId="0" fontId="2" fillId="21" borderId="40" xfId="0" applyFont="1" applyFill="1" applyBorder="1" applyAlignment="1">
      <alignment horizontal="center" vertical="center" wrapText="1"/>
    </xf>
    <xf numFmtId="0" fontId="2" fillId="21" borderId="35" xfId="0" applyFont="1" applyFill="1" applyBorder="1" applyAlignment="1">
      <alignment horizontal="center" vertical="center" wrapText="1"/>
    </xf>
    <xf numFmtId="9" fontId="2" fillId="21" borderId="41" xfId="11" applyFont="1" applyFill="1" applyBorder="1" applyAlignment="1">
      <alignment horizontal="center" vertical="center" wrapText="1"/>
    </xf>
    <xf numFmtId="9" fontId="2" fillId="21" borderId="35" xfId="0" applyNumberFormat="1" applyFont="1" applyFill="1" applyBorder="1" applyAlignment="1">
      <alignment horizontal="center" vertical="center" wrapText="1"/>
    </xf>
    <xf numFmtId="0" fontId="2" fillId="0" borderId="0" xfId="0" applyFont="1" applyAlignment="1">
      <alignment horizontal="center" wrapText="1"/>
    </xf>
    <xf numFmtId="164" fontId="2" fillId="21" borderId="28" xfId="0" applyNumberFormat="1" applyFont="1" applyFill="1" applyBorder="1" applyAlignment="1">
      <alignment horizontal="center" vertical="center"/>
    </xf>
    <xf numFmtId="0" fontId="2" fillId="21" borderId="34" xfId="0" applyFont="1" applyFill="1" applyBorder="1" applyAlignment="1">
      <alignment horizontal="center" vertical="center"/>
    </xf>
    <xf numFmtId="0" fontId="2" fillId="0" borderId="0" xfId="0" applyFont="1" applyAlignment="1">
      <alignment horizontal="center"/>
    </xf>
    <xf numFmtId="164" fontId="2" fillId="21" borderId="30" xfId="0" applyNumberFormat="1" applyFont="1" applyFill="1" applyBorder="1" applyAlignment="1">
      <alignment horizontal="center" vertical="center"/>
    </xf>
    <xf numFmtId="0" fontId="2" fillId="21" borderId="32" xfId="0" applyFont="1" applyFill="1" applyBorder="1" applyAlignment="1">
      <alignment horizontal="center" vertical="center"/>
    </xf>
    <xf numFmtId="2" fontId="2" fillId="21" borderId="40" xfId="0" applyNumberFormat="1" applyFont="1" applyFill="1" applyBorder="1" applyAlignment="1">
      <alignment horizontal="center" vertical="center"/>
    </xf>
    <xf numFmtId="0" fontId="2" fillId="21" borderId="35" xfId="0" applyFont="1" applyFill="1" applyBorder="1" applyAlignment="1">
      <alignment horizontal="center" vertical="center"/>
    </xf>
    <xf numFmtId="0" fontId="2" fillId="0" borderId="0" xfId="0" applyFont="1" applyAlignment="1">
      <alignment vertical="center"/>
    </xf>
    <xf numFmtId="20" fontId="2" fillId="4" borderId="38" xfId="0" applyNumberFormat="1" applyFont="1" applyFill="1" applyBorder="1" applyAlignment="1">
      <alignment horizontal="center" vertical="center" wrapText="1"/>
    </xf>
    <xf numFmtId="2" fontId="2" fillId="19" borderId="39" xfId="9" applyFont="1" applyBorder="1" applyAlignment="1">
      <alignment horizontal="center" vertical="center" wrapText="1"/>
      <protection locked="0"/>
    </xf>
    <xf numFmtId="0" fontId="2" fillId="0" borderId="28"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167" fontId="2" fillId="5" borderId="9" xfId="0" applyNumberFormat="1" applyFont="1" applyFill="1" applyBorder="1" applyAlignment="1" applyProtection="1">
      <alignment horizontal="center" vertical="center" wrapText="1"/>
      <protection locked="0"/>
    </xf>
    <xf numFmtId="167" fontId="2" fillId="5" borderId="32" xfId="0" applyNumberFormat="1"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167" fontId="2" fillId="4" borderId="9" xfId="0" applyNumberFormat="1" applyFont="1" applyFill="1" applyBorder="1" applyAlignment="1">
      <alignment horizontal="center" vertical="center" wrapText="1"/>
    </xf>
    <xf numFmtId="167" fontId="2" fillId="4" borderId="32" xfId="0" applyNumberFormat="1" applyFont="1" applyFill="1" applyBorder="1" applyAlignment="1">
      <alignment horizontal="center" vertical="center" wrapText="1"/>
    </xf>
    <xf numFmtId="167" fontId="2" fillId="4" borderId="41" xfId="0" applyNumberFormat="1" applyFont="1" applyFill="1" applyBorder="1" applyAlignment="1">
      <alignment horizontal="center" vertical="center" wrapText="1"/>
    </xf>
    <xf numFmtId="167" fontId="2" fillId="4" borderId="35" xfId="0" applyNumberFormat="1" applyFont="1" applyFill="1" applyBorder="1" applyAlignment="1">
      <alignment horizontal="center" vertical="center" wrapText="1"/>
    </xf>
    <xf numFmtId="22" fontId="2" fillId="0" borderId="0" xfId="0" applyNumberFormat="1" applyFont="1" applyAlignment="1">
      <alignment vertical="center" wrapText="1"/>
    </xf>
    <xf numFmtId="0" fontId="2" fillId="0" borderId="0" xfId="0" applyFont="1" applyAlignment="1">
      <alignment horizontal="center" vertical="center"/>
    </xf>
    <xf numFmtId="167" fontId="2" fillId="0" borderId="0" xfId="0" applyNumberFormat="1" applyFont="1" applyAlignment="1">
      <alignment horizontal="center" vertical="center" wrapText="1"/>
    </xf>
    <xf numFmtId="22" fontId="2" fillId="0" borderId="0" xfId="0" applyNumberFormat="1" applyFont="1" applyAlignment="1">
      <alignment horizontal="center" vertical="center" wrapText="1"/>
    </xf>
    <xf numFmtId="0" fontId="2" fillId="2" borderId="0" xfId="0" applyFont="1" applyFill="1" applyAlignment="1" applyProtection="1">
      <alignment horizontal="center" vertical="center" wrapText="1"/>
      <protection hidden="1"/>
    </xf>
    <xf numFmtId="0" fontId="2" fillId="2" borderId="0" xfId="0" applyFont="1" applyFill="1" applyAlignment="1" applyProtection="1">
      <alignment vertical="center" wrapText="1"/>
      <protection locked="0" hidden="1"/>
    </xf>
    <xf numFmtId="0" fontId="2" fillId="2" borderId="0" xfId="0" applyFont="1" applyFill="1" applyProtection="1">
      <protection hidden="1"/>
    </xf>
    <xf numFmtId="0" fontId="2" fillId="2" borderId="0" xfId="0" applyFont="1" applyFill="1" applyAlignment="1" applyProtection="1">
      <alignment horizontal="center" vertical="center"/>
      <protection hidden="1"/>
    </xf>
    <xf numFmtId="11" fontId="2" fillId="2" borderId="0" xfId="0" applyNumberFormat="1" applyFont="1" applyFill="1" applyAlignment="1" applyProtection="1">
      <alignment horizontal="center" vertical="center"/>
      <protection hidden="1"/>
    </xf>
    <xf numFmtId="2" fontId="2" fillId="6" borderId="50" xfId="0" applyNumberFormat="1" applyFont="1" applyFill="1" applyBorder="1" applyAlignment="1" applyProtection="1">
      <alignment horizontal="center" vertical="center"/>
      <protection hidden="1"/>
    </xf>
    <xf numFmtId="1" fontId="2" fillId="6" borderId="50" xfId="0" applyNumberFormat="1" applyFont="1" applyFill="1" applyBorder="1" applyAlignment="1" applyProtection="1">
      <alignment horizontal="center" vertical="center"/>
      <protection hidden="1"/>
    </xf>
    <xf numFmtId="0" fontId="2" fillId="2" borderId="2" xfId="0" applyFont="1" applyFill="1" applyBorder="1" applyProtection="1">
      <protection hidden="1"/>
    </xf>
    <xf numFmtId="0" fontId="2" fillId="2" borderId="3" xfId="0" applyFont="1" applyFill="1" applyBorder="1" applyProtection="1">
      <protection hidden="1"/>
    </xf>
    <xf numFmtId="2" fontId="2" fillId="2" borderId="0" xfId="0" applyNumberFormat="1" applyFont="1" applyFill="1" applyProtection="1">
      <protection hidden="1"/>
    </xf>
    <xf numFmtId="0" fontId="2" fillId="2" borderId="10" xfId="0" applyFont="1" applyFill="1" applyBorder="1" applyProtection="1">
      <protection hidden="1"/>
    </xf>
    <xf numFmtId="0" fontId="2" fillId="0" borderId="2" xfId="0" applyFont="1" applyBorder="1" applyAlignment="1" applyProtection="1">
      <alignment horizontal="center" vertical="center"/>
      <protection hidden="1"/>
    </xf>
    <xf numFmtId="0" fontId="2" fillId="0" borderId="68" xfId="0" applyFont="1" applyBorder="1" applyAlignment="1" applyProtection="1">
      <alignment horizontal="center" vertical="center"/>
      <protection hidden="1"/>
    </xf>
    <xf numFmtId="0" fontId="2" fillId="2" borderId="0" xfId="0" applyFont="1" applyFill="1" applyAlignment="1" applyProtection="1">
      <alignment horizontal="right" vertical="top"/>
      <protection hidden="1"/>
    </xf>
    <xf numFmtId="0" fontId="2" fillId="10" borderId="14" xfId="0" applyFont="1" applyFill="1" applyBorder="1" applyAlignment="1" applyProtection="1">
      <alignment horizontal="center" vertical="center"/>
      <protection locked="0" hidden="1"/>
    </xf>
    <xf numFmtId="2" fontId="2" fillId="6" borderId="9" xfId="0" applyNumberFormat="1" applyFont="1" applyFill="1" applyBorder="1" applyAlignment="1" applyProtection="1">
      <alignment horizontal="center" vertical="center"/>
      <protection hidden="1"/>
    </xf>
    <xf numFmtId="2" fontId="2" fillId="4" borderId="32" xfId="0" applyNumberFormat="1" applyFont="1" applyFill="1" applyBorder="1" applyAlignment="1" applyProtection="1">
      <alignment horizontal="center" vertical="center"/>
      <protection hidden="1"/>
    </xf>
    <xf numFmtId="0" fontId="2" fillId="4" borderId="35" xfId="0" applyFont="1" applyFill="1" applyBorder="1" applyAlignment="1" applyProtection="1">
      <alignment horizontal="center" vertical="center"/>
      <protection hidden="1"/>
    </xf>
    <xf numFmtId="0" fontId="2" fillId="2" borderId="74" xfId="0" applyFont="1" applyFill="1" applyBorder="1" applyAlignment="1" applyProtection="1">
      <alignment horizontal="right" vertical="top"/>
      <protection hidden="1"/>
    </xf>
    <xf numFmtId="0" fontId="2" fillId="2" borderId="5" xfId="0" applyFont="1" applyFill="1" applyBorder="1" applyProtection="1">
      <protection hidden="1"/>
    </xf>
    <xf numFmtId="0" fontId="2" fillId="10" borderId="54" xfId="0" applyFont="1" applyFill="1" applyBorder="1" applyAlignment="1" applyProtection="1">
      <alignment horizontal="center" vertical="center"/>
      <protection locked="0" hidden="1"/>
    </xf>
    <xf numFmtId="2" fontId="2" fillId="6" borderId="41" xfId="0" applyNumberFormat="1" applyFont="1" applyFill="1" applyBorder="1" applyAlignment="1" applyProtection="1">
      <alignment horizontal="center" vertical="center"/>
      <protection hidden="1"/>
    </xf>
    <xf numFmtId="2" fontId="2" fillId="4" borderId="35" xfId="0" applyNumberFormat="1" applyFont="1" applyFill="1" applyBorder="1" applyAlignment="1" applyProtection="1">
      <alignment horizontal="center" vertical="center"/>
      <protection hidden="1"/>
    </xf>
    <xf numFmtId="0" fontId="2" fillId="0" borderId="6" xfId="0" applyFont="1" applyBorder="1" applyProtection="1">
      <protection hidden="1"/>
    </xf>
    <xf numFmtId="0" fontId="2" fillId="0" borderId="8" xfId="0" applyFont="1" applyBorder="1" applyProtection="1">
      <protection hidden="1"/>
    </xf>
    <xf numFmtId="2" fontId="2" fillId="21" borderId="34" xfId="0" applyNumberFormat="1" applyFont="1" applyFill="1" applyBorder="1" applyAlignment="1" applyProtection="1">
      <alignment horizontal="center" vertical="center"/>
      <protection hidden="1"/>
    </xf>
    <xf numFmtId="165" fontId="2" fillId="6" borderId="32" xfId="0" applyNumberFormat="1" applyFont="1" applyFill="1" applyBorder="1" applyAlignment="1" applyProtection="1">
      <alignment horizontal="center" vertical="center"/>
      <protection hidden="1"/>
    </xf>
    <xf numFmtId="2" fontId="2" fillId="21" borderId="35" xfId="0" applyNumberFormat="1" applyFont="1" applyFill="1" applyBorder="1" applyAlignment="1" applyProtection="1">
      <alignment horizontal="center" vertical="center"/>
      <protection hidden="1"/>
    </xf>
    <xf numFmtId="9" fontId="2" fillId="2" borderId="0" xfId="0" applyNumberFormat="1" applyFont="1" applyFill="1" applyAlignment="1" applyProtection="1">
      <alignment horizontal="center" vertical="center"/>
      <protection hidden="1"/>
    </xf>
    <xf numFmtId="0" fontId="2" fillId="4" borderId="28" xfId="1" applyFont="1" applyFill="1" applyBorder="1" applyAlignment="1" applyProtection="1">
      <alignment horizontal="center" vertical="center"/>
      <protection hidden="1"/>
    </xf>
    <xf numFmtId="0" fontId="2" fillId="4" borderId="17" xfId="1" applyFont="1" applyFill="1" applyBorder="1" applyAlignment="1" applyProtection="1">
      <alignment horizontal="center" vertical="center"/>
      <protection hidden="1"/>
    </xf>
    <xf numFmtId="0" fontId="2" fillId="4" borderId="25" xfId="1" applyFont="1" applyFill="1" applyBorder="1" applyAlignment="1" applyProtection="1">
      <alignment horizontal="center" wrapText="1"/>
      <protection hidden="1"/>
    </xf>
    <xf numFmtId="166" fontId="2" fillId="2" borderId="5" xfId="0" applyNumberFormat="1" applyFont="1" applyFill="1" applyBorder="1" applyProtection="1">
      <protection hidden="1"/>
    </xf>
    <xf numFmtId="165" fontId="2" fillId="11" borderId="39" xfId="0" applyNumberFormat="1" applyFont="1" applyFill="1" applyBorder="1" applyAlignment="1" applyProtection="1">
      <alignment horizontal="center" vertical="center"/>
      <protection hidden="1"/>
    </xf>
    <xf numFmtId="0" fontId="2" fillId="10" borderId="9" xfId="1" applyFont="1" applyFill="1" applyBorder="1" applyAlignment="1" applyProtection="1">
      <alignment horizontal="center" vertical="center"/>
      <protection locked="0" hidden="1"/>
    </xf>
    <xf numFmtId="166" fontId="2" fillId="6" borderId="11" xfId="0" applyNumberFormat="1" applyFont="1" applyFill="1" applyBorder="1" applyAlignment="1" applyProtection="1">
      <alignment horizontal="center" vertical="center"/>
      <protection hidden="1"/>
    </xf>
    <xf numFmtId="166" fontId="2" fillId="6" borderId="17" xfId="0" applyNumberFormat="1" applyFont="1" applyFill="1" applyBorder="1" applyAlignment="1" applyProtection="1">
      <alignment horizontal="center" vertical="center" wrapText="1"/>
      <protection hidden="1"/>
    </xf>
    <xf numFmtId="0" fontId="2" fillId="6" borderId="28" xfId="0" applyFont="1" applyFill="1" applyBorder="1" applyAlignment="1" applyProtection="1">
      <alignment horizontal="center" vertical="center"/>
      <protection hidden="1"/>
    </xf>
    <xf numFmtId="2" fontId="2" fillId="6" borderId="17" xfId="0" applyNumberFormat="1" applyFont="1" applyFill="1" applyBorder="1" applyAlignment="1" applyProtection="1">
      <alignment horizontal="center" vertical="center"/>
      <protection hidden="1"/>
    </xf>
    <xf numFmtId="2" fontId="2" fillId="21" borderId="32" xfId="0" applyNumberFormat="1" applyFont="1" applyFill="1" applyBorder="1" applyAlignment="1" applyProtection="1">
      <alignment horizontal="center" vertical="center"/>
      <protection hidden="1"/>
    </xf>
    <xf numFmtId="2" fontId="2" fillId="10" borderId="41" xfId="1" applyNumberFormat="1" applyFont="1" applyFill="1" applyBorder="1" applyAlignment="1" applyProtection="1">
      <alignment horizontal="center" vertical="center"/>
      <protection locked="0" hidden="1"/>
    </xf>
    <xf numFmtId="0" fontId="2" fillId="10" borderId="41" xfId="1" applyFont="1" applyFill="1" applyBorder="1" applyAlignment="1" applyProtection="1">
      <alignment horizontal="center" vertical="center"/>
      <protection locked="0" hidden="1"/>
    </xf>
    <xf numFmtId="166" fontId="2" fillId="6" borderId="52" xfId="0" applyNumberFormat="1" applyFont="1" applyFill="1" applyBorder="1" applyAlignment="1" applyProtection="1">
      <alignment horizontal="center" vertical="center"/>
      <protection hidden="1"/>
    </xf>
    <xf numFmtId="166" fontId="2" fillId="6" borderId="9" xfId="0" applyNumberFormat="1" applyFont="1" applyFill="1" applyBorder="1" applyAlignment="1" applyProtection="1">
      <alignment horizontal="center" vertical="center" wrapText="1"/>
      <protection hidden="1"/>
    </xf>
    <xf numFmtId="0" fontId="2" fillId="6" borderId="30" xfId="0" applyFont="1" applyFill="1" applyBorder="1" applyAlignment="1" applyProtection="1">
      <alignment horizontal="center" vertical="center"/>
      <protection hidden="1"/>
    </xf>
    <xf numFmtId="166" fontId="2" fillId="11" borderId="4" xfId="0" applyNumberFormat="1" applyFont="1" applyFill="1" applyBorder="1" applyAlignment="1" applyProtection="1">
      <alignment horizontal="center" vertical="center"/>
      <protection hidden="1"/>
    </xf>
    <xf numFmtId="0" fontId="2" fillId="6" borderId="40" xfId="0" applyFont="1" applyFill="1" applyBorder="1" applyAlignment="1" applyProtection="1">
      <alignment horizontal="center" vertical="center"/>
      <protection hidden="1"/>
    </xf>
    <xf numFmtId="2" fontId="2" fillId="21" borderId="8" xfId="0" applyNumberFormat="1" applyFont="1" applyFill="1" applyBorder="1" applyAlignment="1" applyProtection="1">
      <alignment horizontal="center" vertical="center"/>
      <protection hidden="1"/>
    </xf>
    <xf numFmtId="0" fontId="2" fillId="2" borderId="44" xfId="0" applyFont="1" applyFill="1" applyBorder="1" applyProtection="1">
      <protection hidden="1"/>
    </xf>
    <xf numFmtId="166" fontId="2" fillId="6" borderId="41" xfId="0" applyNumberFormat="1" applyFont="1" applyFill="1" applyBorder="1" applyAlignment="1" applyProtection="1">
      <alignment horizontal="center" vertical="center" wrapText="1"/>
      <protection hidden="1"/>
    </xf>
    <xf numFmtId="166" fontId="2" fillId="6" borderId="35" xfId="0" applyNumberFormat="1" applyFont="1" applyFill="1" applyBorder="1" applyAlignment="1" applyProtection="1">
      <alignment horizontal="center" vertical="center"/>
      <protection hidden="1"/>
    </xf>
    <xf numFmtId="166" fontId="2" fillId="2" borderId="0" xfId="0" applyNumberFormat="1" applyFont="1" applyFill="1" applyAlignment="1" applyProtection="1">
      <alignment horizontal="center" vertical="center"/>
      <protection hidden="1"/>
    </xf>
    <xf numFmtId="0" fontId="2" fillId="2" borderId="6" xfId="0" applyFont="1" applyFill="1" applyBorder="1" applyAlignment="1" applyProtection="1">
      <alignment vertical="center" wrapText="1"/>
      <protection hidden="1"/>
    </xf>
    <xf numFmtId="0" fontId="2" fillId="4" borderId="6" xfId="0" applyFont="1" applyFill="1" applyBorder="1" applyAlignment="1" applyProtection="1">
      <alignment horizontal="left" vertical="center" wrapText="1"/>
      <protection hidden="1"/>
    </xf>
    <xf numFmtId="0" fontId="2" fillId="4" borderId="7" xfId="0" applyFont="1" applyFill="1" applyBorder="1" applyAlignment="1" applyProtection="1">
      <alignment horizontal="left" vertical="center" wrapText="1"/>
      <protection hidden="1"/>
    </xf>
    <xf numFmtId="0" fontId="2" fillId="4" borderId="7" xfId="0" applyFont="1" applyFill="1" applyBorder="1" applyAlignment="1" applyProtection="1">
      <alignment vertical="center" wrapText="1"/>
      <protection hidden="1"/>
    </xf>
    <xf numFmtId="0" fontId="2" fillId="4" borderId="8" xfId="0" applyFont="1" applyFill="1" applyBorder="1" applyAlignment="1" applyProtection="1">
      <alignment vertical="center" wrapText="1"/>
      <protection hidden="1"/>
    </xf>
    <xf numFmtId="164" fontId="2" fillId="6" borderId="1" xfId="0" applyNumberFormat="1" applyFont="1" applyFill="1" applyBorder="1" applyAlignment="1" applyProtection="1">
      <alignment horizontal="center" vertical="center" wrapText="1"/>
      <protection hidden="1"/>
    </xf>
    <xf numFmtId="168" fontId="2" fillId="4" borderId="1" xfId="0" applyNumberFormat="1" applyFont="1" applyFill="1" applyBorder="1" applyAlignment="1" applyProtection="1">
      <alignment horizontal="center" vertical="center"/>
      <protection hidden="1"/>
    </xf>
    <xf numFmtId="0" fontId="2" fillId="4" borderId="10" xfId="0" applyFont="1" applyFill="1" applyBorder="1" applyAlignment="1" applyProtection="1">
      <alignment horizontal="left" vertical="center" wrapText="1"/>
      <protection hidden="1"/>
    </xf>
    <xf numFmtId="0" fontId="2" fillId="4" borderId="0" xfId="0" applyFont="1" applyFill="1" applyAlignment="1" applyProtection="1">
      <alignment horizontal="left" vertical="center" wrapText="1"/>
      <protection hidden="1"/>
    </xf>
    <xf numFmtId="0" fontId="2" fillId="4" borderId="0" xfId="0" applyFont="1" applyFill="1" applyAlignment="1" applyProtection="1">
      <alignment vertical="center" wrapText="1"/>
      <protection hidden="1"/>
    </xf>
    <xf numFmtId="164" fontId="2" fillId="6" borderId="67" xfId="0" applyNumberFormat="1" applyFont="1" applyFill="1" applyBorder="1" applyAlignment="1" applyProtection="1">
      <alignment vertical="center" wrapText="1"/>
      <protection hidden="1"/>
    </xf>
    <xf numFmtId="168" fontId="2" fillId="4" borderId="67" xfId="0" applyNumberFormat="1" applyFont="1" applyFill="1" applyBorder="1" applyAlignment="1" applyProtection="1">
      <alignment vertical="center" wrapText="1"/>
      <protection hidden="1"/>
    </xf>
    <xf numFmtId="0" fontId="2" fillId="4" borderId="10" xfId="0" applyFont="1" applyFill="1" applyBorder="1" applyAlignment="1" applyProtection="1">
      <alignment vertical="center" wrapText="1"/>
      <protection hidden="1"/>
    </xf>
    <xf numFmtId="1" fontId="2" fillId="6" borderId="67" xfId="0" applyNumberFormat="1" applyFont="1" applyFill="1" applyBorder="1" applyAlignment="1" applyProtection="1">
      <alignment vertical="center" wrapText="1"/>
      <protection hidden="1"/>
    </xf>
    <xf numFmtId="0" fontId="2" fillId="6" borderId="67" xfId="0" applyFont="1" applyFill="1" applyBorder="1" applyAlignment="1" applyProtection="1">
      <alignment horizontal="center" vertical="center" wrapText="1"/>
      <protection hidden="1"/>
    </xf>
    <xf numFmtId="0" fontId="2" fillId="4" borderId="67" xfId="0" applyFont="1" applyFill="1" applyBorder="1" applyAlignment="1" applyProtection="1">
      <alignment vertical="center" wrapText="1"/>
      <protection hidden="1"/>
    </xf>
    <xf numFmtId="0" fontId="2" fillId="6" borderId="64" xfId="0" applyFont="1" applyFill="1" applyBorder="1" applyAlignment="1" applyProtection="1">
      <alignment vertical="center" wrapText="1"/>
      <protection hidden="1"/>
    </xf>
    <xf numFmtId="14" fontId="2" fillId="6" borderId="70" xfId="0" applyNumberFormat="1" applyFont="1" applyFill="1" applyBorder="1" applyAlignment="1" applyProtection="1">
      <alignment horizontal="center" vertical="center" wrapText="1"/>
      <protection hidden="1"/>
    </xf>
    <xf numFmtId="167" fontId="2" fillId="6" borderId="38" xfId="0" applyNumberFormat="1" applyFont="1" applyFill="1" applyBorder="1" applyAlignment="1" applyProtection="1">
      <alignment horizontal="center" vertical="center" wrapText="1"/>
      <protection hidden="1"/>
    </xf>
    <xf numFmtId="14" fontId="2" fillId="6" borderId="38" xfId="0" applyNumberFormat="1" applyFont="1" applyFill="1" applyBorder="1" applyAlignment="1" applyProtection="1">
      <alignment horizontal="center" vertical="center" wrapText="1"/>
      <protection hidden="1"/>
    </xf>
    <xf numFmtId="1" fontId="2" fillId="6" borderId="38" xfId="0" applyNumberFormat="1" applyFont="1" applyFill="1" applyBorder="1" applyAlignment="1" applyProtection="1">
      <alignment horizontal="center" vertical="center" wrapText="1"/>
      <protection hidden="1"/>
    </xf>
    <xf numFmtId="166" fontId="2" fillId="6" borderId="38" xfId="0" applyNumberFormat="1" applyFont="1" applyFill="1" applyBorder="1" applyAlignment="1" applyProtection="1">
      <alignment horizontal="center" vertical="center" wrapText="1"/>
      <protection hidden="1"/>
    </xf>
    <xf numFmtId="165" fontId="2" fillId="6" borderId="38" xfId="0" applyNumberFormat="1" applyFont="1" applyFill="1" applyBorder="1" applyAlignment="1" applyProtection="1">
      <alignment horizontal="center" vertical="center" wrapText="1"/>
      <protection hidden="1"/>
    </xf>
    <xf numFmtId="168" fontId="2" fillId="6" borderId="38" xfId="0" applyNumberFormat="1" applyFont="1" applyFill="1" applyBorder="1" applyAlignment="1" applyProtection="1">
      <alignment horizontal="center" vertical="center" wrapText="1"/>
      <protection hidden="1"/>
    </xf>
    <xf numFmtId="0" fontId="2" fillId="6" borderId="38" xfId="0" applyFont="1" applyFill="1" applyBorder="1" applyAlignment="1" applyProtection="1">
      <alignment horizontal="center" vertical="center" wrapText="1"/>
      <protection hidden="1"/>
    </xf>
    <xf numFmtId="0" fontId="2" fillId="6" borderId="39" xfId="0" applyFont="1" applyFill="1" applyBorder="1" applyAlignment="1" applyProtection="1">
      <alignment horizontal="center" vertical="center" wrapText="1"/>
      <protection hidden="1"/>
    </xf>
    <xf numFmtId="167" fontId="2" fillId="6" borderId="9" xfId="0" applyNumberFormat="1" applyFont="1" applyFill="1" applyBorder="1" applyAlignment="1" applyProtection="1">
      <alignment horizontal="center" vertical="center" wrapText="1"/>
      <protection hidden="1"/>
    </xf>
    <xf numFmtId="14" fontId="2" fillId="6" borderId="9" xfId="0" applyNumberFormat="1"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2" fontId="2" fillId="6" borderId="9" xfId="0" applyNumberFormat="1" applyFont="1" applyFill="1" applyBorder="1" applyAlignment="1" applyProtection="1">
      <alignment horizontal="center" vertical="center" wrapText="1"/>
      <protection hidden="1"/>
    </xf>
    <xf numFmtId="165" fontId="2" fillId="6" borderId="9" xfId="0" applyNumberFormat="1" applyFont="1" applyFill="1" applyBorder="1" applyAlignment="1" applyProtection="1">
      <alignment horizontal="center" vertical="center" wrapText="1"/>
      <protection hidden="1"/>
    </xf>
    <xf numFmtId="168" fontId="2" fillId="6" borderId="9" xfId="0" applyNumberFormat="1" applyFont="1" applyFill="1" applyBorder="1" applyAlignment="1" applyProtection="1">
      <alignment horizontal="center" vertical="center" wrapText="1"/>
      <protection hidden="1"/>
    </xf>
    <xf numFmtId="0" fontId="2" fillId="6" borderId="32" xfId="0" applyFont="1" applyFill="1" applyBorder="1" applyAlignment="1" applyProtection="1">
      <alignment horizontal="center" vertical="center" wrapText="1"/>
      <protection hidden="1"/>
    </xf>
    <xf numFmtId="0" fontId="2" fillId="6" borderId="41" xfId="0" applyFont="1" applyFill="1" applyBorder="1" applyAlignment="1" applyProtection="1">
      <alignment horizontal="center" vertical="center" wrapText="1"/>
      <protection hidden="1"/>
    </xf>
    <xf numFmtId="14" fontId="2" fillId="6" borderId="41" xfId="0" applyNumberFormat="1" applyFont="1" applyFill="1" applyBorder="1" applyAlignment="1" applyProtection="1">
      <alignment horizontal="center" vertical="center" wrapText="1"/>
      <protection hidden="1"/>
    </xf>
    <xf numFmtId="165" fontId="2" fillId="6" borderId="41" xfId="0" applyNumberFormat="1" applyFont="1" applyFill="1" applyBorder="1" applyAlignment="1" applyProtection="1">
      <alignment horizontal="center" vertical="center" wrapText="1"/>
      <protection hidden="1"/>
    </xf>
    <xf numFmtId="168" fontId="2" fillId="6" borderId="41" xfId="0" applyNumberFormat="1" applyFont="1" applyFill="1" applyBorder="1" applyAlignment="1" applyProtection="1">
      <alignment horizontal="center" vertical="center" wrapText="1"/>
      <protection hidden="1"/>
    </xf>
    <xf numFmtId="0" fontId="2" fillId="6" borderId="35" xfId="0" applyFont="1" applyFill="1" applyBorder="1" applyAlignment="1" applyProtection="1">
      <alignment horizontal="center" vertical="center" wrapText="1"/>
      <protection hidden="1"/>
    </xf>
    <xf numFmtId="164" fontId="2" fillId="6" borderId="38" xfId="0" applyNumberFormat="1" applyFont="1" applyFill="1" applyBorder="1" applyAlignment="1" applyProtection="1">
      <alignment horizontal="center" vertical="center" wrapText="1"/>
      <protection hidden="1"/>
    </xf>
    <xf numFmtId="1" fontId="2" fillId="6" borderId="41" xfId="0" applyNumberFormat="1" applyFont="1" applyFill="1" applyBorder="1" applyAlignment="1" applyProtection="1">
      <alignment horizontal="center" vertical="center" wrapText="1"/>
      <protection hidden="1"/>
    </xf>
    <xf numFmtId="0" fontId="2" fillId="6" borderId="50" xfId="0" applyFont="1" applyFill="1" applyBorder="1" applyAlignment="1" applyProtection="1">
      <alignment horizontal="center" vertical="center" wrapText="1"/>
      <protection hidden="1"/>
    </xf>
    <xf numFmtId="165" fontId="2" fillId="6" borderId="50" xfId="0" applyNumberFormat="1" applyFont="1" applyFill="1" applyBorder="1" applyAlignment="1" applyProtection="1">
      <alignment horizontal="center" vertical="center" wrapText="1"/>
      <protection hidden="1"/>
    </xf>
    <xf numFmtId="14" fontId="2" fillId="6" borderId="50" xfId="0" applyNumberFormat="1" applyFont="1" applyFill="1" applyBorder="1" applyAlignment="1" applyProtection="1">
      <alignment horizontal="center" vertical="center" wrapText="1"/>
      <protection hidden="1"/>
    </xf>
    <xf numFmtId="1" fontId="2" fillId="6" borderId="50" xfId="0" applyNumberFormat="1" applyFont="1" applyFill="1" applyBorder="1" applyAlignment="1" applyProtection="1">
      <alignment horizontal="center" vertical="center" wrapText="1"/>
      <protection hidden="1"/>
    </xf>
    <xf numFmtId="168" fontId="2" fillId="6" borderId="50" xfId="0" applyNumberFormat="1" applyFont="1" applyFill="1" applyBorder="1" applyAlignment="1" applyProtection="1">
      <alignment horizontal="center" vertical="center" wrapText="1"/>
      <protection hidden="1"/>
    </xf>
    <xf numFmtId="0" fontId="2" fillId="6" borderId="75" xfId="0" applyFont="1" applyFill="1" applyBorder="1" applyAlignment="1" applyProtection="1">
      <alignment horizontal="center" vertical="center" wrapText="1"/>
      <protection hidden="1"/>
    </xf>
    <xf numFmtId="166" fontId="2" fillId="2" borderId="0" xfId="1" applyNumberFormat="1" applyFont="1" applyFill="1" applyBorder="1" applyAlignment="1" applyProtection="1">
      <alignment horizontal="center" vertical="center"/>
      <protection hidden="1"/>
    </xf>
    <xf numFmtId="0" fontId="2" fillId="2" borderId="0" xfId="1" applyFont="1" applyFill="1" applyBorder="1" applyAlignment="1" applyProtection="1">
      <alignment horizontal="center" vertical="center"/>
      <protection hidden="1"/>
    </xf>
    <xf numFmtId="0" fontId="2" fillId="2" borderId="68" xfId="0" applyFont="1" applyFill="1" applyBorder="1" applyAlignment="1" applyProtection="1">
      <alignment vertical="center" wrapText="1"/>
      <protection hidden="1"/>
    </xf>
    <xf numFmtId="168" fontId="2" fillId="4" borderId="2" xfId="0" applyNumberFormat="1" applyFont="1" applyFill="1" applyBorder="1" applyAlignment="1" applyProtection="1">
      <alignment horizontal="center" vertical="center" wrapText="1"/>
      <protection hidden="1"/>
    </xf>
    <xf numFmtId="14" fontId="2" fillId="4" borderId="70" xfId="0" applyNumberFormat="1" applyFont="1" applyFill="1" applyBorder="1" applyAlignment="1" applyProtection="1">
      <alignment horizontal="center" vertical="center" wrapText="1"/>
      <protection hidden="1"/>
    </xf>
    <xf numFmtId="11" fontId="2" fillId="2" borderId="0" xfId="1" applyNumberFormat="1" applyFont="1" applyFill="1" applyBorder="1" applyAlignment="1" applyProtection="1">
      <alignment horizontal="center" vertical="center"/>
      <protection hidden="1"/>
    </xf>
    <xf numFmtId="0" fontId="2" fillId="4" borderId="18"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0" fontId="2" fillId="4" borderId="20"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165" fontId="2" fillId="2" borderId="0" xfId="1" applyNumberFormat="1" applyFont="1" applyFill="1" applyBorder="1" applyAlignment="1" applyProtection="1">
      <alignment horizontal="center" vertical="center"/>
      <protection hidden="1"/>
    </xf>
    <xf numFmtId="14" fontId="2" fillId="4" borderId="19" xfId="0" applyNumberFormat="1" applyFont="1" applyFill="1" applyBorder="1" applyAlignment="1" applyProtection="1">
      <alignment horizontal="center" vertical="center" wrapText="1"/>
      <protection hidden="1"/>
    </xf>
    <xf numFmtId="0" fontId="2" fillId="4" borderId="37" xfId="0" applyFont="1" applyFill="1" applyBorder="1" applyAlignment="1" applyProtection="1">
      <alignment horizontal="center" vertical="center" wrapText="1"/>
      <protection hidden="1"/>
    </xf>
    <xf numFmtId="2" fontId="2" fillId="6" borderId="38" xfId="0" applyNumberFormat="1" applyFont="1" applyFill="1" applyBorder="1" applyAlignment="1" applyProtection="1">
      <alignment horizontal="center" vertical="center" wrapText="1"/>
      <protection hidden="1"/>
    </xf>
    <xf numFmtId="2" fontId="2" fillId="6" borderId="29" xfId="0" applyNumberFormat="1" applyFont="1" applyFill="1" applyBorder="1" applyAlignment="1" applyProtection="1">
      <alignment horizontal="center" vertical="center" wrapText="1"/>
      <protection hidden="1"/>
    </xf>
    <xf numFmtId="2" fontId="2" fillId="4" borderId="65" xfId="0" applyNumberFormat="1" applyFont="1" applyFill="1" applyBorder="1" applyAlignment="1" applyProtection="1">
      <alignment horizontal="center" vertical="center" wrapText="1"/>
      <protection hidden="1"/>
    </xf>
    <xf numFmtId="49" fontId="2" fillId="25" borderId="81" xfId="0" applyNumberFormat="1" applyFont="1" applyFill="1" applyBorder="1" applyAlignment="1">
      <alignment horizontal="center" vertical="center"/>
    </xf>
    <xf numFmtId="0" fontId="2" fillId="6" borderId="10" xfId="0" applyFont="1" applyFill="1" applyBorder="1" applyAlignment="1" applyProtection="1">
      <alignment horizontal="center" vertical="center" wrapText="1"/>
      <protection hidden="1"/>
    </xf>
    <xf numFmtId="166" fontId="2" fillId="4" borderId="10" xfId="0" applyNumberFormat="1" applyFont="1" applyFill="1" applyBorder="1" applyAlignment="1" applyProtection="1">
      <alignment horizontal="center" vertical="center"/>
      <protection hidden="1"/>
    </xf>
    <xf numFmtId="166" fontId="2" fillId="4" borderId="4" xfId="0" applyNumberFormat="1" applyFont="1" applyFill="1" applyBorder="1" applyAlignment="1" applyProtection="1">
      <alignment horizontal="center" vertical="center"/>
      <protection hidden="1"/>
    </xf>
    <xf numFmtId="0" fontId="2" fillId="4" borderId="30" xfId="0" applyFont="1" applyFill="1" applyBorder="1" applyAlignment="1" applyProtection="1">
      <alignment horizontal="center" vertical="center" wrapText="1"/>
      <protection hidden="1"/>
    </xf>
    <xf numFmtId="166" fontId="2" fillId="6" borderId="11" xfId="0" applyNumberFormat="1" applyFont="1" applyFill="1" applyBorder="1" applyAlignment="1" applyProtection="1">
      <alignment horizontal="center" vertical="center" wrapText="1"/>
      <protection hidden="1"/>
    </xf>
    <xf numFmtId="166" fontId="2" fillId="4" borderId="63" xfId="0" applyNumberFormat="1"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2" fontId="2" fillId="4" borderId="18" xfId="0" applyNumberFormat="1" applyFont="1" applyFill="1" applyBorder="1" applyAlignment="1" applyProtection="1">
      <alignment horizontal="center" vertical="center"/>
      <protection hidden="1"/>
    </xf>
    <xf numFmtId="2" fontId="2" fillId="4" borderId="19" xfId="0" applyNumberFormat="1" applyFont="1" applyFill="1" applyBorder="1" applyAlignment="1" applyProtection="1">
      <alignment horizontal="center" vertical="center"/>
      <protection hidden="1"/>
    </xf>
    <xf numFmtId="0" fontId="2" fillId="4" borderId="40" xfId="0" applyFont="1" applyFill="1" applyBorder="1" applyAlignment="1" applyProtection="1">
      <alignment horizontal="center" vertical="center"/>
      <protection hidden="1"/>
    </xf>
    <xf numFmtId="166" fontId="2" fillId="6" borderId="41" xfId="0" applyNumberFormat="1" applyFont="1" applyFill="1" applyBorder="1" applyAlignment="1" applyProtection="1">
      <alignment horizontal="center" vertical="center"/>
      <protection hidden="1"/>
    </xf>
    <xf numFmtId="165" fontId="2" fillId="6" borderId="52" xfId="0" applyNumberFormat="1" applyFont="1" applyFill="1" applyBorder="1" applyAlignment="1" applyProtection="1">
      <alignment horizontal="center" vertical="center"/>
      <protection hidden="1"/>
    </xf>
    <xf numFmtId="166" fontId="2" fillId="4" borderId="66" xfId="0" applyNumberFormat="1" applyFont="1" applyFill="1" applyBorder="1" applyAlignment="1" applyProtection="1">
      <alignment horizontal="center" vertical="center"/>
      <protection hidden="1"/>
    </xf>
    <xf numFmtId="0" fontId="2" fillId="2" borderId="0" xfId="0" applyFont="1" applyFill="1" applyAlignment="1" applyProtection="1">
      <alignment horizontal="center"/>
      <protection hidden="1"/>
    </xf>
    <xf numFmtId="167" fontId="88" fillId="5" borderId="38" xfId="0" applyNumberFormat="1" applyFont="1" applyFill="1" applyBorder="1" applyAlignment="1" applyProtection="1">
      <alignment horizontal="center" vertical="center"/>
      <protection hidden="1"/>
    </xf>
    <xf numFmtId="2" fontId="88" fillId="5" borderId="41" xfId="0" applyNumberFormat="1" applyFont="1" applyFill="1" applyBorder="1" applyAlignment="1" applyProtection="1">
      <alignment horizontal="center" vertical="center"/>
      <protection hidden="1"/>
    </xf>
    <xf numFmtId="2" fontId="88" fillId="5" borderId="38" xfId="0" applyNumberFormat="1" applyFont="1" applyFill="1" applyBorder="1" applyAlignment="1" applyProtection="1">
      <alignment horizontal="center" vertical="center"/>
      <protection hidden="1"/>
    </xf>
    <xf numFmtId="167" fontId="88" fillId="5" borderId="41" xfId="0" applyNumberFormat="1" applyFont="1" applyFill="1" applyBorder="1" applyAlignment="1" applyProtection="1">
      <alignment horizontal="center" vertical="center"/>
      <protection hidden="1"/>
    </xf>
    <xf numFmtId="169" fontId="88" fillId="5" borderId="38" xfId="0" applyNumberFormat="1" applyFont="1" applyFill="1" applyBorder="1" applyAlignment="1" applyProtection="1">
      <alignment horizontal="center" vertical="center"/>
      <protection hidden="1"/>
    </xf>
    <xf numFmtId="14" fontId="88" fillId="5" borderId="38" xfId="0" applyNumberFormat="1" applyFont="1" applyFill="1" applyBorder="1" applyAlignment="1" applyProtection="1">
      <alignment horizontal="center" vertical="center"/>
      <protection hidden="1"/>
    </xf>
    <xf numFmtId="169" fontId="88" fillId="5" borderId="41" xfId="0" applyNumberFormat="1" applyFont="1" applyFill="1" applyBorder="1" applyAlignment="1" applyProtection="1">
      <alignment horizontal="center" vertical="center"/>
      <protection hidden="1"/>
    </xf>
    <xf numFmtId="14" fontId="88" fillId="5" borderId="41" xfId="0" applyNumberFormat="1" applyFont="1" applyFill="1" applyBorder="1" applyAlignment="1" applyProtection="1">
      <alignment horizontal="center" vertical="center"/>
      <protection hidden="1"/>
    </xf>
    <xf numFmtId="0" fontId="88" fillId="5" borderId="38" xfId="0" applyFont="1" applyFill="1" applyBorder="1" applyAlignment="1" applyProtection="1">
      <alignment horizontal="center" vertical="center"/>
      <protection hidden="1"/>
    </xf>
    <xf numFmtId="0" fontId="88" fillId="5" borderId="41" xfId="0" applyFont="1" applyFill="1" applyBorder="1" applyAlignment="1" applyProtection="1">
      <alignment horizontal="center" vertical="center"/>
      <protection hidden="1"/>
    </xf>
    <xf numFmtId="2" fontId="88" fillId="5" borderId="39" xfId="0" applyNumberFormat="1" applyFont="1" applyFill="1" applyBorder="1" applyAlignment="1" applyProtection="1">
      <alignment horizontal="center" vertical="center"/>
      <protection hidden="1"/>
    </xf>
    <xf numFmtId="2" fontId="88" fillId="5" borderId="35" xfId="0" applyNumberFormat="1" applyFont="1" applyFill="1" applyBorder="1" applyAlignment="1" applyProtection="1">
      <alignment horizontal="center" vertical="center"/>
      <protection hidden="1"/>
    </xf>
    <xf numFmtId="166" fontId="88" fillId="5" borderId="37" xfId="0" applyNumberFormat="1" applyFont="1" applyFill="1" applyBorder="1" applyAlignment="1" applyProtection="1">
      <alignment horizontal="center" vertical="center"/>
      <protection hidden="1"/>
    </xf>
    <xf numFmtId="166" fontId="88" fillId="5" borderId="30" xfId="0" applyNumberFormat="1" applyFont="1" applyFill="1" applyBorder="1" applyAlignment="1" applyProtection="1">
      <alignment horizontal="center" vertical="center"/>
      <protection hidden="1"/>
    </xf>
    <xf numFmtId="0" fontId="88" fillId="5" borderId="30" xfId="0" applyFont="1" applyFill="1" applyBorder="1" applyAlignment="1" applyProtection="1">
      <alignment horizontal="center" vertical="center"/>
      <protection hidden="1"/>
    </xf>
    <xf numFmtId="166" fontId="88" fillId="5" borderId="40" xfId="0" applyNumberFormat="1" applyFont="1" applyFill="1" applyBorder="1" applyAlignment="1" applyProtection="1">
      <alignment horizontal="center" vertical="center"/>
      <protection hidden="1"/>
    </xf>
    <xf numFmtId="166" fontId="88" fillId="5" borderId="38" xfId="0" applyNumberFormat="1" applyFont="1" applyFill="1" applyBorder="1" applyAlignment="1" applyProtection="1">
      <alignment horizontal="center" vertical="center"/>
      <protection hidden="1"/>
    </xf>
    <xf numFmtId="166" fontId="88" fillId="5" borderId="9" xfId="0" applyNumberFormat="1" applyFont="1" applyFill="1" applyBorder="1" applyAlignment="1" applyProtection="1">
      <alignment horizontal="center" vertical="center"/>
      <protection hidden="1"/>
    </xf>
    <xf numFmtId="0" fontId="88" fillId="5" borderId="9" xfId="0" applyFont="1" applyFill="1" applyBorder="1" applyAlignment="1" applyProtection="1">
      <alignment horizontal="center" vertical="center"/>
      <protection hidden="1"/>
    </xf>
    <xf numFmtId="2" fontId="88" fillId="6" borderId="38" xfId="0" applyNumberFormat="1" applyFont="1" applyFill="1" applyBorder="1" applyAlignment="1" applyProtection="1">
      <alignment horizontal="center" vertical="center"/>
      <protection hidden="1"/>
    </xf>
    <xf numFmtId="2" fontId="88" fillId="6" borderId="9" xfId="0" applyNumberFormat="1" applyFont="1" applyFill="1" applyBorder="1" applyAlignment="1" applyProtection="1">
      <alignment horizontal="center" vertical="center"/>
      <protection hidden="1"/>
    </xf>
    <xf numFmtId="2" fontId="88" fillId="6" borderId="41" xfId="0" applyNumberFormat="1" applyFont="1" applyFill="1" applyBorder="1" applyAlignment="1" applyProtection="1">
      <alignment horizontal="center" vertical="center"/>
      <protection hidden="1"/>
    </xf>
    <xf numFmtId="169" fontId="88" fillId="5" borderId="9" xfId="0" applyNumberFormat="1" applyFont="1" applyFill="1" applyBorder="1" applyAlignment="1" applyProtection="1">
      <alignment horizontal="center" vertical="center"/>
      <protection hidden="1"/>
    </xf>
    <xf numFmtId="0" fontId="88" fillId="5" borderId="37" xfId="0" applyFont="1" applyFill="1" applyBorder="1" applyAlignment="1" applyProtection="1">
      <alignment horizontal="center" vertical="center"/>
      <protection hidden="1"/>
    </xf>
    <xf numFmtId="0" fontId="88" fillId="5" borderId="29" xfId="0" applyFont="1" applyFill="1" applyBorder="1" applyAlignment="1" applyProtection="1">
      <alignment horizontal="center" vertical="center" wrapText="1"/>
      <protection hidden="1"/>
    </xf>
    <xf numFmtId="169" fontId="88" fillId="5" borderId="38" xfId="0" quotePrefix="1" applyNumberFormat="1" applyFont="1" applyFill="1" applyBorder="1" applyAlignment="1" applyProtection="1">
      <alignment horizontal="center" vertical="center" wrapText="1"/>
      <protection hidden="1"/>
    </xf>
    <xf numFmtId="0" fontId="88" fillId="5" borderId="11" xfId="0" applyFont="1" applyFill="1" applyBorder="1" applyAlignment="1" applyProtection="1">
      <alignment horizontal="center" vertical="center" wrapText="1"/>
      <protection hidden="1"/>
    </xf>
    <xf numFmtId="169" fontId="88" fillId="5" borderId="9" xfId="0" quotePrefix="1" applyNumberFormat="1" applyFont="1" applyFill="1" applyBorder="1" applyAlignment="1" applyProtection="1">
      <alignment horizontal="center" vertical="center" wrapText="1"/>
      <protection hidden="1"/>
    </xf>
    <xf numFmtId="0" fontId="88" fillId="5" borderId="40" xfId="0" applyFont="1" applyFill="1" applyBorder="1" applyAlignment="1" applyProtection="1">
      <alignment horizontal="center" vertical="center"/>
      <protection hidden="1"/>
    </xf>
    <xf numFmtId="0" fontId="88" fillId="5" borderId="52" xfId="0" applyFont="1" applyFill="1" applyBorder="1" applyAlignment="1" applyProtection="1">
      <alignment horizontal="center" vertical="center" wrapText="1"/>
      <protection hidden="1"/>
    </xf>
    <xf numFmtId="169" fontId="88" fillId="5" borderId="41" xfId="0" quotePrefix="1" applyNumberFormat="1" applyFont="1" applyFill="1" applyBorder="1" applyAlignment="1" applyProtection="1">
      <alignment horizontal="center" vertical="center" wrapText="1"/>
      <protection hidden="1"/>
    </xf>
    <xf numFmtId="167" fontId="30" fillId="12" borderId="38" xfId="0" applyNumberFormat="1" applyFont="1" applyFill="1" applyBorder="1" applyAlignment="1" applyProtection="1">
      <alignment horizontal="center" vertical="center"/>
      <protection hidden="1"/>
    </xf>
    <xf numFmtId="167" fontId="30" fillId="12" borderId="29" xfId="0" applyNumberFormat="1" applyFont="1" applyFill="1" applyBorder="1" applyAlignment="1" applyProtection="1">
      <alignment horizontal="center" vertical="center" wrapText="1"/>
      <protection hidden="1"/>
    </xf>
    <xf numFmtId="167" fontId="30" fillId="12" borderId="30" xfId="0" applyNumberFormat="1" applyFont="1" applyFill="1" applyBorder="1" applyAlignment="1" applyProtection="1">
      <alignment horizontal="center" vertical="center"/>
      <protection hidden="1"/>
    </xf>
    <xf numFmtId="167" fontId="30" fillId="12" borderId="9" xfId="0" applyNumberFormat="1" applyFont="1" applyFill="1" applyBorder="1" applyAlignment="1" applyProtection="1">
      <alignment horizontal="center" vertical="center"/>
      <protection hidden="1"/>
    </xf>
    <xf numFmtId="167" fontId="30" fillId="12" borderId="11" xfId="0" applyNumberFormat="1" applyFont="1" applyFill="1" applyBorder="1" applyAlignment="1" applyProtection="1">
      <alignment horizontal="center" vertical="center" wrapText="1"/>
      <protection hidden="1"/>
    </xf>
    <xf numFmtId="167" fontId="30" fillId="12" borderId="40" xfId="0" applyNumberFormat="1" applyFont="1" applyFill="1" applyBorder="1" applyAlignment="1" applyProtection="1">
      <alignment horizontal="center" vertical="center"/>
      <protection hidden="1"/>
    </xf>
    <xf numFmtId="167" fontId="30" fillId="12" borderId="41" xfId="0" applyNumberFormat="1" applyFont="1" applyFill="1" applyBorder="1" applyAlignment="1" applyProtection="1">
      <alignment horizontal="center" vertical="center"/>
      <protection hidden="1"/>
    </xf>
    <xf numFmtId="167" fontId="30" fillId="12" borderId="52" xfId="0" applyNumberFormat="1" applyFont="1" applyFill="1" applyBorder="1" applyAlignment="1" applyProtection="1">
      <alignment horizontal="center" vertical="center" wrapText="1"/>
      <protection hidden="1"/>
    </xf>
    <xf numFmtId="0" fontId="30" fillId="12" borderId="11" xfId="0" applyFont="1" applyFill="1" applyBorder="1" applyAlignment="1" applyProtection="1">
      <alignment horizontal="center" vertical="center" wrapText="1"/>
      <protection hidden="1"/>
    </xf>
    <xf numFmtId="0" fontId="30" fillId="12" borderId="52" xfId="0" applyFont="1" applyFill="1" applyBorder="1" applyAlignment="1" applyProtection="1">
      <alignment horizontal="center" vertical="center" wrapText="1"/>
      <protection hidden="1"/>
    </xf>
    <xf numFmtId="0" fontId="88" fillId="5" borderId="39" xfId="0" applyFont="1" applyFill="1" applyBorder="1" applyAlignment="1" applyProtection="1">
      <alignment horizontal="center" vertical="center" wrapText="1"/>
      <protection hidden="1"/>
    </xf>
    <xf numFmtId="167" fontId="88" fillId="5" borderId="78" xfId="0" applyNumberFormat="1" applyFont="1" applyFill="1" applyBorder="1" applyAlignment="1" applyProtection="1">
      <alignment horizontal="center" vertical="center"/>
      <protection hidden="1"/>
    </xf>
    <xf numFmtId="0" fontId="88" fillId="5" borderId="12" xfId="0" applyFont="1" applyFill="1" applyBorder="1" applyAlignment="1" applyProtection="1">
      <alignment horizontal="center" vertical="center"/>
      <protection hidden="1"/>
    </xf>
    <xf numFmtId="2" fontId="88" fillId="5" borderId="37" xfId="0" applyNumberFormat="1" applyFont="1" applyFill="1" applyBorder="1" applyAlignment="1" applyProtection="1">
      <alignment horizontal="center" vertical="center"/>
      <protection hidden="1"/>
    </xf>
    <xf numFmtId="2" fontId="88" fillId="5" borderId="30" xfId="0" applyNumberFormat="1" applyFont="1" applyFill="1" applyBorder="1" applyAlignment="1" applyProtection="1">
      <alignment horizontal="center" vertical="center"/>
      <protection hidden="1"/>
    </xf>
    <xf numFmtId="2" fontId="88" fillId="5" borderId="40" xfId="0" applyNumberFormat="1" applyFont="1" applyFill="1" applyBorder="1" applyAlignment="1" applyProtection="1">
      <alignment horizontal="center" vertical="center"/>
      <protection hidden="1"/>
    </xf>
    <xf numFmtId="0" fontId="90" fillId="4" borderId="21" xfId="0" applyFont="1" applyFill="1" applyBorder="1" applyAlignment="1" applyProtection="1">
      <alignment horizontal="center" vertical="center" wrapText="1"/>
      <protection hidden="1"/>
    </xf>
    <xf numFmtId="167" fontId="88" fillId="5" borderId="37" xfId="0" applyNumberFormat="1" applyFont="1" applyFill="1" applyBorder="1" applyAlignment="1" applyProtection="1">
      <alignment horizontal="center" vertical="center"/>
      <protection hidden="1"/>
    </xf>
    <xf numFmtId="0" fontId="88" fillId="5" borderId="29" xfId="0" applyFont="1" applyFill="1" applyBorder="1" applyAlignment="1" applyProtection="1">
      <alignment horizontal="center" vertical="center"/>
      <protection hidden="1"/>
    </xf>
    <xf numFmtId="0" fontId="88" fillId="5" borderId="11" xfId="0" applyFont="1" applyFill="1" applyBorder="1" applyAlignment="1" applyProtection="1">
      <alignment horizontal="center" vertical="center"/>
      <protection hidden="1"/>
    </xf>
    <xf numFmtId="0" fontId="88" fillId="5" borderId="52" xfId="0" applyFont="1" applyFill="1" applyBorder="1" applyAlignment="1" applyProtection="1">
      <alignment horizontal="center" vertical="center"/>
      <protection hidden="1"/>
    </xf>
    <xf numFmtId="167" fontId="88" fillId="5" borderId="29" xfId="0" applyNumberFormat="1" applyFont="1" applyFill="1" applyBorder="1" applyAlignment="1" applyProtection="1">
      <alignment horizontal="center" vertical="center" wrapText="1"/>
      <protection hidden="1"/>
    </xf>
    <xf numFmtId="167" fontId="88" fillId="5" borderId="9" xfId="0" applyNumberFormat="1" applyFont="1" applyFill="1" applyBorder="1" applyAlignment="1" applyProtection="1">
      <alignment horizontal="center" vertical="center"/>
      <protection hidden="1"/>
    </xf>
    <xf numFmtId="167" fontId="88" fillId="5" borderId="11" xfId="0" applyNumberFormat="1" applyFont="1" applyFill="1" applyBorder="1" applyAlignment="1" applyProtection="1">
      <alignment horizontal="center" vertical="center" wrapText="1"/>
      <protection hidden="1"/>
    </xf>
    <xf numFmtId="167" fontId="88" fillId="5" borderId="40" xfId="0" applyNumberFormat="1" applyFont="1" applyFill="1" applyBorder="1" applyAlignment="1" applyProtection="1">
      <alignment horizontal="center" vertical="center"/>
      <protection hidden="1"/>
    </xf>
    <xf numFmtId="167" fontId="88" fillId="5" borderId="52" xfId="0" applyNumberFormat="1" applyFont="1" applyFill="1" applyBorder="1" applyAlignment="1" applyProtection="1">
      <alignment horizontal="center" vertical="center" wrapText="1"/>
      <protection hidden="1"/>
    </xf>
    <xf numFmtId="169" fontId="88" fillId="5" borderId="38" xfId="0" quotePrefix="1" applyNumberFormat="1" applyFont="1" applyFill="1" applyBorder="1" applyAlignment="1" applyProtection="1">
      <alignment horizontal="center" vertical="center"/>
      <protection hidden="1"/>
    </xf>
    <xf numFmtId="169" fontId="88" fillId="5" borderId="9" xfId="0" quotePrefix="1" applyNumberFormat="1" applyFont="1" applyFill="1" applyBorder="1" applyAlignment="1" applyProtection="1">
      <alignment horizontal="center" vertical="center"/>
      <protection hidden="1"/>
    </xf>
    <xf numFmtId="169" fontId="88" fillId="5" borderId="41" xfId="0" quotePrefix="1" applyNumberFormat="1" applyFont="1" applyFill="1" applyBorder="1" applyAlignment="1" applyProtection="1">
      <alignment horizontal="center" vertical="center"/>
      <protection hidden="1"/>
    </xf>
    <xf numFmtId="0" fontId="88" fillId="5" borderId="32" xfId="0" applyFont="1" applyFill="1" applyBorder="1" applyAlignment="1" applyProtection="1">
      <alignment horizontal="center" vertical="center" wrapText="1"/>
      <protection hidden="1"/>
    </xf>
    <xf numFmtId="0" fontId="88" fillId="5" borderId="57" xfId="0" applyFont="1" applyFill="1" applyBorder="1" applyAlignment="1" applyProtection="1">
      <alignment horizontal="center" vertical="center" wrapText="1"/>
      <protection hidden="1"/>
    </xf>
    <xf numFmtId="166" fontId="88" fillId="5" borderId="41" xfId="0" applyNumberFormat="1" applyFont="1" applyFill="1" applyBorder="1" applyAlignment="1" applyProtection="1">
      <alignment horizontal="center" vertical="center"/>
      <protection hidden="1"/>
    </xf>
    <xf numFmtId="175" fontId="88" fillId="5" borderId="37" xfId="0" applyNumberFormat="1" applyFont="1" applyFill="1" applyBorder="1" applyAlignment="1" applyProtection="1">
      <alignment horizontal="center" vertical="center"/>
      <protection hidden="1"/>
    </xf>
    <xf numFmtId="166" fontId="88" fillId="5" borderId="39" xfId="0" applyNumberFormat="1" applyFont="1" applyFill="1" applyBorder="1" applyAlignment="1" applyProtection="1">
      <alignment horizontal="center" vertical="center"/>
      <protection hidden="1"/>
    </xf>
    <xf numFmtId="175" fontId="88" fillId="5" borderId="30" xfId="0" applyNumberFormat="1" applyFont="1" applyFill="1" applyBorder="1" applyAlignment="1" applyProtection="1">
      <alignment horizontal="center" vertical="center"/>
      <protection hidden="1"/>
    </xf>
    <xf numFmtId="0" fontId="88" fillId="5" borderId="32" xfId="0" applyFont="1" applyFill="1" applyBorder="1" applyAlignment="1" applyProtection="1">
      <alignment horizontal="center" vertical="center"/>
      <protection hidden="1"/>
    </xf>
    <xf numFmtId="0" fontId="88" fillId="5" borderId="35" xfId="0" applyFont="1" applyFill="1" applyBorder="1" applyAlignment="1" applyProtection="1">
      <alignment horizontal="center" vertical="center"/>
      <protection hidden="1"/>
    </xf>
    <xf numFmtId="2" fontId="88" fillId="5" borderId="9" xfId="0" applyNumberFormat="1" applyFont="1" applyFill="1" applyBorder="1" applyAlignment="1" applyProtection="1">
      <alignment horizontal="center" vertical="center"/>
      <protection hidden="1"/>
    </xf>
    <xf numFmtId="174" fontId="88" fillId="5" borderId="38" xfId="0" applyNumberFormat="1" applyFont="1" applyFill="1" applyBorder="1" applyAlignment="1" applyProtection="1">
      <alignment horizontal="center" vertical="center" wrapText="1"/>
      <protection hidden="1"/>
    </xf>
    <xf numFmtId="175" fontId="88" fillId="5" borderId="29" xfId="0" applyNumberFormat="1" applyFont="1" applyFill="1" applyBorder="1" applyAlignment="1" applyProtection="1">
      <alignment horizontal="center" vertical="center" wrapText="1"/>
      <protection hidden="1"/>
    </xf>
    <xf numFmtId="174" fontId="88" fillId="5" borderId="9" xfId="0" applyNumberFormat="1" applyFont="1" applyFill="1" applyBorder="1" applyAlignment="1" applyProtection="1">
      <alignment horizontal="center" vertical="center" wrapText="1"/>
      <protection hidden="1"/>
    </xf>
    <xf numFmtId="174" fontId="88" fillId="5" borderId="41" xfId="0" applyNumberFormat="1" applyFont="1" applyFill="1" applyBorder="1" applyAlignment="1" applyProtection="1">
      <alignment horizontal="center" vertical="center" wrapText="1"/>
      <protection hidden="1"/>
    </xf>
    <xf numFmtId="175" fontId="88" fillId="5" borderId="41" xfId="0" applyNumberFormat="1" applyFont="1" applyFill="1" applyBorder="1" applyAlignment="1" applyProtection="1">
      <alignment horizontal="center" vertical="center" wrapText="1"/>
      <protection hidden="1"/>
    </xf>
    <xf numFmtId="175" fontId="88" fillId="5" borderId="38" xfId="0" applyNumberFormat="1" applyFont="1" applyFill="1" applyBorder="1" applyAlignment="1" applyProtection="1">
      <alignment horizontal="center" vertical="center" wrapText="1"/>
      <protection hidden="1"/>
    </xf>
    <xf numFmtId="175" fontId="88" fillId="5" borderId="9" xfId="0" applyNumberFormat="1" applyFont="1" applyFill="1" applyBorder="1" applyAlignment="1" applyProtection="1">
      <alignment horizontal="center" vertical="center" wrapText="1"/>
      <protection hidden="1"/>
    </xf>
    <xf numFmtId="169" fontId="88" fillId="5" borderId="38" xfId="0" quotePrefix="1" applyNumberFormat="1" applyFont="1" applyFill="1" applyBorder="1" applyAlignment="1">
      <alignment horizontal="center" vertical="center" wrapText="1"/>
    </xf>
    <xf numFmtId="169" fontId="88" fillId="5" borderId="9" xfId="0" quotePrefix="1" applyNumberFormat="1" applyFont="1" applyFill="1" applyBorder="1" applyAlignment="1">
      <alignment horizontal="center" vertical="center" wrapText="1"/>
    </xf>
    <xf numFmtId="169" fontId="88" fillId="5" borderId="41" xfId="0" quotePrefix="1" applyNumberFormat="1" applyFont="1" applyFill="1" applyBorder="1" applyAlignment="1">
      <alignment horizontal="center" vertical="center" wrapText="1"/>
    </xf>
    <xf numFmtId="0" fontId="88" fillId="5" borderId="35" xfId="0" applyFont="1" applyFill="1" applyBorder="1" applyAlignment="1" applyProtection="1">
      <alignment horizontal="center" vertical="center" wrapText="1"/>
      <protection hidden="1"/>
    </xf>
    <xf numFmtId="167" fontId="88" fillId="5" borderId="39" xfId="0" applyNumberFormat="1" applyFont="1" applyFill="1" applyBorder="1" applyAlignment="1" applyProtection="1">
      <alignment horizontal="center" vertical="center" wrapText="1"/>
      <protection hidden="1"/>
    </xf>
    <xf numFmtId="167" fontId="88" fillId="5" borderId="30" xfId="0" applyNumberFormat="1" applyFont="1" applyFill="1" applyBorder="1" applyAlignment="1" applyProtection="1">
      <alignment horizontal="center" vertical="center"/>
      <protection hidden="1"/>
    </xf>
    <xf numFmtId="167" fontId="88" fillId="5" borderId="32" xfId="0" applyNumberFormat="1" applyFont="1" applyFill="1" applyBorder="1" applyAlignment="1" applyProtection="1">
      <alignment horizontal="center" vertical="center" wrapText="1"/>
      <protection hidden="1"/>
    </xf>
    <xf numFmtId="167" fontId="88" fillId="5" borderId="35" xfId="0" applyNumberFormat="1" applyFont="1" applyFill="1" applyBorder="1" applyAlignment="1" applyProtection="1">
      <alignment horizontal="center" vertical="center" wrapText="1"/>
      <protection hidden="1"/>
    </xf>
    <xf numFmtId="0" fontId="88" fillId="5" borderId="70" xfId="0" applyFont="1" applyFill="1" applyBorder="1" applyAlignment="1" applyProtection="1">
      <alignment horizontal="center" vertical="center"/>
      <protection hidden="1"/>
    </xf>
    <xf numFmtId="0" fontId="88" fillId="5" borderId="17" xfId="0" applyFont="1" applyFill="1" applyBorder="1" applyAlignment="1" applyProtection="1">
      <alignment horizontal="center" vertical="center"/>
      <protection hidden="1"/>
    </xf>
    <xf numFmtId="167" fontId="88" fillId="5" borderId="17" xfId="0" applyNumberFormat="1" applyFont="1" applyFill="1" applyBorder="1" applyAlignment="1" applyProtection="1">
      <alignment horizontal="center" vertical="center"/>
      <protection hidden="1"/>
    </xf>
    <xf numFmtId="0" fontId="88" fillId="5" borderId="50" xfId="0" applyFont="1" applyFill="1" applyBorder="1" applyAlignment="1" applyProtection="1">
      <alignment horizontal="center" vertical="center"/>
      <protection hidden="1"/>
    </xf>
    <xf numFmtId="167" fontId="88" fillId="5" borderId="50" xfId="0" applyNumberFormat="1" applyFont="1" applyFill="1" applyBorder="1" applyAlignment="1" applyProtection="1">
      <alignment horizontal="center" vertical="center"/>
      <protection hidden="1"/>
    </xf>
    <xf numFmtId="0" fontId="88" fillId="5" borderId="78" xfId="0" applyFont="1" applyFill="1" applyBorder="1" applyAlignment="1" applyProtection="1">
      <alignment horizontal="center" vertical="center"/>
      <protection hidden="1"/>
    </xf>
    <xf numFmtId="169" fontId="88" fillId="5" borderId="12" xfId="0" quotePrefix="1" applyNumberFormat="1" applyFont="1" applyFill="1" applyBorder="1" applyAlignment="1" applyProtection="1">
      <alignment horizontal="center" vertical="center"/>
      <protection hidden="1"/>
    </xf>
    <xf numFmtId="169" fontId="88" fillId="5" borderId="39" xfId="0" applyNumberFormat="1" applyFont="1" applyFill="1" applyBorder="1" applyAlignment="1" applyProtection="1">
      <alignment horizontal="center" vertical="center"/>
      <protection hidden="1"/>
    </xf>
    <xf numFmtId="169" fontId="88" fillId="5" borderId="32" xfId="0" applyNumberFormat="1" applyFont="1" applyFill="1" applyBorder="1" applyAlignment="1" applyProtection="1">
      <alignment horizontal="center" vertical="center"/>
      <protection hidden="1"/>
    </xf>
    <xf numFmtId="167" fontId="88" fillId="6" borderId="38" xfId="0" applyNumberFormat="1" applyFont="1" applyFill="1" applyBorder="1" applyAlignment="1" applyProtection="1">
      <alignment horizontal="center" vertical="center"/>
      <protection hidden="1"/>
    </xf>
    <xf numFmtId="167" fontId="88" fillId="6" borderId="9" xfId="0" applyNumberFormat="1" applyFont="1" applyFill="1" applyBorder="1" applyAlignment="1" applyProtection="1">
      <alignment horizontal="center" vertical="center"/>
      <protection hidden="1"/>
    </xf>
    <xf numFmtId="167" fontId="88" fillId="6" borderId="41" xfId="0" applyNumberFormat="1" applyFont="1" applyFill="1" applyBorder="1" applyAlignment="1" applyProtection="1">
      <alignment horizontal="center" vertical="center"/>
      <protection hidden="1"/>
    </xf>
    <xf numFmtId="169" fontId="88" fillId="5" borderId="35" xfId="0" applyNumberFormat="1" applyFont="1" applyFill="1" applyBorder="1" applyAlignment="1" applyProtection="1">
      <alignment horizontal="center" vertical="center"/>
      <protection hidden="1"/>
    </xf>
    <xf numFmtId="0" fontId="88" fillId="5" borderId="39" xfId="0" applyFont="1" applyFill="1" applyBorder="1" applyAlignment="1" applyProtection="1">
      <alignment horizontal="center" vertical="center"/>
      <protection hidden="1"/>
    </xf>
    <xf numFmtId="0" fontId="31" fillId="0" borderId="30" xfId="0" applyFont="1" applyBorder="1" applyAlignment="1" applyProtection="1">
      <alignment horizontal="center" vertical="center" wrapText="1"/>
      <protection hidden="1"/>
    </xf>
    <xf numFmtId="0" fontId="73" fillId="0" borderId="0" xfId="0" applyFont="1" applyProtection="1">
      <protection hidden="1"/>
    </xf>
    <xf numFmtId="0" fontId="92" fillId="0" borderId="0" xfId="0" applyFont="1" applyAlignment="1" applyProtection="1">
      <alignment horizontal="left" vertical="justify" wrapText="1"/>
      <protection hidden="1"/>
    </xf>
    <xf numFmtId="0" fontId="11" fillId="0" borderId="0" xfId="0" applyFont="1" applyAlignment="1" applyProtection="1">
      <alignment horizontal="center"/>
      <protection hidden="1"/>
    </xf>
    <xf numFmtId="167" fontId="11" fillId="0" borderId="1" xfId="0" applyNumberFormat="1" applyFont="1" applyBorder="1" applyAlignment="1" applyProtection="1">
      <alignment horizontal="center" vertical="center" wrapText="1"/>
      <protection hidden="1"/>
    </xf>
    <xf numFmtId="0" fontId="31" fillId="0" borderId="0" xfId="0" applyFont="1" applyProtection="1">
      <protection hidden="1"/>
    </xf>
    <xf numFmtId="0" fontId="11" fillId="0" borderId="1" xfId="0" applyFont="1" applyBorder="1" applyAlignment="1" applyProtection="1">
      <alignment horizontal="center" vertical="center" wrapText="1"/>
      <protection locked="0" hidden="1"/>
    </xf>
    <xf numFmtId="0" fontId="31" fillId="0" borderId="0" xfId="0" applyFont="1" applyAlignment="1" applyProtection="1">
      <alignment horizontal="center" vertical="center" wrapText="1"/>
      <protection hidden="1"/>
    </xf>
    <xf numFmtId="0" fontId="31" fillId="0" borderId="0" xfId="0" applyFont="1" applyAlignment="1" applyProtection="1">
      <alignment horizontal="center"/>
      <protection hidden="1"/>
    </xf>
    <xf numFmtId="167" fontId="31" fillId="0" borderId="1" xfId="0" applyNumberFormat="1" applyFont="1" applyBorder="1" applyAlignment="1" applyProtection="1">
      <alignment horizontal="center" vertical="center" wrapText="1"/>
      <protection hidden="1"/>
    </xf>
    <xf numFmtId="0" fontId="31" fillId="0" borderId="1" xfId="0" applyFont="1" applyBorder="1" applyAlignment="1" applyProtection="1">
      <alignment horizontal="center" vertical="center" wrapText="1"/>
      <protection locked="0" hidden="1"/>
    </xf>
    <xf numFmtId="0" fontId="17" fillId="18" borderId="6" xfId="0" applyFont="1" applyFill="1" applyBorder="1" applyAlignment="1" applyProtection="1">
      <alignment horizontal="center" vertical="center"/>
      <protection hidden="1"/>
    </xf>
    <xf numFmtId="0" fontId="17" fillId="18" borderId="7" xfId="0" applyFont="1" applyFill="1" applyBorder="1" applyAlignment="1" applyProtection="1">
      <alignment horizontal="center" vertical="center"/>
      <protection hidden="1"/>
    </xf>
    <xf numFmtId="0" fontId="17" fillId="18" borderId="8" xfId="0" applyFont="1" applyFill="1" applyBorder="1" applyAlignment="1" applyProtection="1">
      <alignment horizontal="center" vertical="center"/>
      <protection hidden="1"/>
    </xf>
    <xf numFmtId="0" fontId="69" fillId="21" borderId="68" xfId="0" applyFont="1" applyFill="1" applyBorder="1" applyAlignment="1">
      <alignment horizontal="center" vertical="center" textRotation="90" wrapText="1"/>
    </xf>
    <xf numFmtId="0" fontId="69" fillId="21" borderId="67" xfId="0" applyFont="1" applyFill="1" applyBorder="1" applyAlignment="1">
      <alignment horizontal="center" vertical="center" textRotation="90" wrapText="1"/>
    </xf>
    <xf numFmtId="0" fontId="69" fillId="21" borderId="47" xfId="0" applyFont="1" applyFill="1" applyBorder="1" applyAlignment="1">
      <alignment horizontal="center" vertical="center" textRotation="90" wrapText="1"/>
    </xf>
    <xf numFmtId="0" fontId="12" fillId="21" borderId="69" xfId="0" applyFont="1" applyFill="1" applyBorder="1" applyAlignment="1" applyProtection="1">
      <alignment horizontal="center" vertical="center" textRotation="90" wrapText="1"/>
      <protection hidden="1"/>
    </xf>
    <xf numFmtId="0" fontId="12" fillId="21" borderId="42" xfId="0" applyFont="1" applyFill="1" applyBorder="1" applyAlignment="1" applyProtection="1">
      <alignment horizontal="center" vertical="center" textRotation="90" wrapText="1"/>
      <protection hidden="1"/>
    </xf>
    <xf numFmtId="0" fontId="12" fillId="21" borderId="2" xfId="0" applyFont="1" applyFill="1" applyBorder="1" applyAlignment="1" applyProtection="1">
      <alignment horizontal="center" vertical="center"/>
      <protection hidden="1"/>
    </xf>
    <xf numFmtId="0" fontId="12" fillId="21" borderId="3" xfId="0" applyFont="1" applyFill="1" applyBorder="1" applyAlignment="1" applyProtection="1">
      <alignment horizontal="center" vertical="center"/>
      <protection hidden="1"/>
    </xf>
    <xf numFmtId="0" fontId="12" fillId="21" borderId="10" xfId="0" applyFont="1" applyFill="1" applyBorder="1" applyAlignment="1" applyProtection="1">
      <alignment horizontal="center" vertical="center"/>
      <protection hidden="1"/>
    </xf>
    <xf numFmtId="0" fontId="12" fillId="21" borderId="0" xfId="0" applyFont="1" applyFill="1" applyAlignment="1" applyProtection="1">
      <alignment horizontal="center" vertical="center"/>
      <protection hidden="1"/>
    </xf>
    <xf numFmtId="0" fontId="12" fillId="21" borderId="44" xfId="0" applyFont="1" applyFill="1" applyBorder="1" applyAlignment="1" applyProtection="1">
      <alignment horizontal="center" vertical="center"/>
      <protection hidden="1"/>
    </xf>
    <xf numFmtId="0" fontId="12" fillId="21" borderId="5" xfId="0" applyFont="1" applyFill="1" applyBorder="1" applyAlignment="1" applyProtection="1">
      <alignment horizontal="center" vertical="center"/>
      <protection hidden="1"/>
    </xf>
    <xf numFmtId="0" fontId="88" fillId="5" borderId="39" xfId="0" quotePrefix="1" applyFont="1" applyFill="1" applyBorder="1" applyAlignment="1" applyProtection="1">
      <alignment horizontal="center" vertical="center" wrapText="1"/>
      <protection hidden="1"/>
    </xf>
    <xf numFmtId="0" fontId="89" fillId="5" borderId="32" xfId="0" applyFont="1" applyFill="1" applyBorder="1" applyAlignment="1" applyProtection="1">
      <alignment horizontal="center" vertical="center" wrapText="1"/>
      <protection hidden="1"/>
    </xf>
    <xf numFmtId="0" fontId="89" fillId="5" borderId="35" xfId="0" applyFont="1" applyFill="1" applyBorder="1" applyAlignment="1" applyProtection="1">
      <alignment horizontal="center" vertical="center" wrapText="1"/>
      <protection hidden="1"/>
    </xf>
    <xf numFmtId="0" fontId="30" fillId="5" borderId="64" xfId="0" applyFont="1" applyFill="1" applyBorder="1" applyAlignment="1" applyProtection="1">
      <alignment horizontal="center" vertical="center"/>
      <protection hidden="1"/>
    </xf>
    <xf numFmtId="0" fontId="30" fillId="5" borderId="50" xfId="0" applyFont="1" applyFill="1" applyBorder="1" applyAlignment="1" applyProtection="1">
      <alignment horizontal="center" vertical="center"/>
      <protection hidden="1"/>
    </xf>
    <xf numFmtId="14" fontId="30" fillId="5" borderId="64" xfId="0" applyNumberFormat="1" applyFont="1" applyFill="1" applyBorder="1" applyAlignment="1" applyProtection="1">
      <alignment horizontal="center" vertical="center"/>
      <protection hidden="1"/>
    </xf>
    <xf numFmtId="14" fontId="30" fillId="5" borderId="50" xfId="0" applyNumberFormat="1" applyFont="1" applyFill="1" applyBorder="1" applyAlignment="1" applyProtection="1">
      <alignment horizontal="center" vertical="center"/>
      <protection hidden="1"/>
    </xf>
    <xf numFmtId="0" fontId="12" fillId="21" borderId="2" xfId="0" applyFont="1" applyFill="1" applyBorder="1" applyAlignment="1" applyProtection="1">
      <alignment horizontal="center" vertical="center" textRotation="90" wrapText="1"/>
      <protection hidden="1"/>
    </xf>
    <xf numFmtId="0" fontId="12" fillId="21" borderId="10" xfId="0" applyFont="1" applyFill="1" applyBorder="1" applyAlignment="1" applyProtection="1">
      <alignment horizontal="center" vertical="center" textRotation="90" wrapText="1"/>
      <protection hidden="1"/>
    </xf>
    <xf numFmtId="0" fontId="12" fillId="21" borderId="44" xfId="0" applyFont="1" applyFill="1" applyBorder="1" applyAlignment="1" applyProtection="1">
      <alignment horizontal="center" vertical="center" textRotation="90" wrapText="1"/>
      <protection hidden="1"/>
    </xf>
    <xf numFmtId="0" fontId="30" fillId="21" borderId="3" xfId="0" applyFont="1" applyFill="1" applyBorder="1" applyAlignment="1" applyProtection="1">
      <alignment horizontal="center" vertical="center"/>
      <protection hidden="1"/>
    </xf>
    <xf numFmtId="0" fontId="30" fillId="21" borderId="0" xfId="0" applyFont="1" applyFill="1" applyAlignment="1" applyProtection="1">
      <alignment horizontal="center" vertical="center"/>
      <protection hidden="1"/>
    </xf>
    <xf numFmtId="0" fontId="30" fillId="21" borderId="5" xfId="0" applyFont="1" applyFill="1" applyBorder="1" applyAlignment="1" applyProtection="1">
      <alignment horizontal="center" vertical="center"/>
      <protection hidden="1"/>
    </xf>
    <xf numFmtId="14" fontId="88" fillId="5" borderId="3" xfId="0" applyNumberFormat="1" applyFont="1" applyFill="1" applyBorder="1" applyAlignment="1" applyProtection="1">
      <alignment horizontal="center" vertical="center"/>
      <protection hidden="1"/>
    </xf>
    <xf numFmtId="14" fontId="88" fillId="5" borderId="0" xfId="0" applyNumberFormat="1" applyFont="1" applyFill="1" applyAlignment="1" applyProtection="1">
      <alignment horizontal="center" vertical="center"/>
      <protection hidden="1"/>
    </xf>
    <xf numFmtId="14" fontId="88" fillId="5" borderId="5" xfId="0" applyNumberFormat="1"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169" fontId="88" fillId="5" borderId="39" xfId="0" quotePrefix="1" applyNumberFormat="1" applyFont="1" applyFill="1" applyBorder="1" applyAlignment="1">
      <alignment horizontal="center" vertical="center" wrapText="1"/>
    </xf>
    <xf numFmtId="0" fontId="88" fillId="5" borderId="32" xfId="0" applyFont="1" applyFill="1" applyBorder="1" applyAlignment="1">
      <alignment horizontal="center" vertical="center" wrapText="1"/>
    </xf>
    <xf numFmtId="0" fontId="88" fillId="5" borderId="35" xfId="0" applyFont="1" applyFill="1" applyBorder="1" applyAlignment="1">
      <alignment horizontal="center" vertical="center" wrapText="1"/>
    </xf>
    <xf numFmtId="0" fontId="17" fillId="18" borderId="3" xfId="0" applyFont="1" applyFill="1" applyBorder="1" applyAlignment="1" applyProtection="1">
      <alignment horizontal="center" vertical="center"/>
      <protection hidden="1"/>
    </xf>
    <xf numFmtId="0" fontId="17" fillId="18" borderId="4" xfId="0" applyFont="1" applyFill="1" applyBorder="1" applyAlignment="1" applyProtection="1">
      <alignment horizontal="center" vertical="center"/>
      <protection hidden="1"/>
    </xf>
    <xf numFmtId="3" fontId="30" fillId="21" borderId="69" xfId="0" applyNumberFormat="1" applyFont="1" applyFill="1" applyBorder="1" applyAlignment="1" applyProtection="1">
      <alignment horizontal="center" vertical="center" wrapText="1"/>
      <protection hidden="1"/>
    </xf>
    <xf numFmtId="3" fontId="30" fillId="21" borderId="48" xfId="0" applyNumberFormat="1" applyFont="1" applyFill="1" applyBorder="1" applyAlignment="1" applyProtection="1">
      <alignment horizontal="center" vertical="center" wrapText="1"/>
      <protection hidden="1"/>
    </xf>
    <xf numFmtId="3" fontId="30" fillId="21" borderId="42" xfId="0" applyNumberFormat="1" applyFont="1" applyFill="1" applyBorder="1" applyAlignment="1" applyProtection="1">
      <alignment horizontal="center" vertical="center" wrapText="1"/>
      <protection hidden="1"/>
    </xf>
    <xf numFmtId="0" fontId="17" fillId="18" borderId="6" xfId="0" applyFont="1" applyFill="1" applyBorder="1" applyAlignment="1" applyProtection="1">
      <alignment horizontal="center" vertical="center" wrapText="1"/>
      <protection hidden="1"/>
    </xf>
    <xf numFmtId="0" fontId="17" fillId="18" borderId="8" xfId="0" applyFont="1" applyFill="1" applyBorder="1" applyAlignment="1" applyProtection="1">
      <alignment horizontal="center" vertical="center" wrapText="1"/>
      <protection hidden="1"/>
    </xf>
    <xf numFmtId="0" fontId="50" fillId="4" borderId="2" xfId="0" applyFont="1" applyFill="1" applyBorder="1" applyAlignment="1" applyProtection="1">
      <alignment horizontal="center" vertical="center" wrapText="1"/>
      <protection hidden="1"/>
    </xf>
    <xf numFmtId="0" fontId="50" fillId="4" borderId="3" xfId="0" applyFont="1" applyFill="1" applyBorder="1" applyAlignment="1" applyProtection="1">
      <alignment horizontal="center" vertical="center" wrapText="1"/>
      <protection hidden="1"/>
    </xf>
    <xf numFmtId="0" fontId="50" fillId="4" borderId="4" xfId="0" applyFont="1" applyFill="1" applyBorder="1" applyAlignment="1" applyProtection="1">
      <alignment horizontal="center" vertical="center" wrapText="1"/>
      <protection hidden="1"/>
    </xf>
    <xf numFmtId="0" fontId="12" fillId="4" borderId="21" xfId="0" applyFont="1" applyFill="1" applyBorder="1" applyAlignment="1" applyProtection="1">
      <alignment horizontal="center" vertical="center" wrapText="1"/>
      <protection hidden="1"/>
    </xf>
    <xf numFmtId="0" fontId="12" fillId="21" borderId="68" xfId="0" applyFont="1" applyFill="1" applyBorder="1" applyAlignment="1" applyProtection="1">
      <alignment horizontal="center" vertical="center" textRotation="90"/>
      <protection hidden="1"/>
    </xf>
    <xf numFmtId="0" fontId="12" fillId="21" borderId="67" xfId="0" applyFont="1" applyFill="1" applyBorder="1" applyAlignment="1" applyProtection="1">
      <alignment horizontal="center" vertical="center" textRotation="90"/>
      <protection hidden="1"/>
    </xf>
    <xf numFmtId="0" fontId="12" fillId="21" borderId="10" xfId="0" applyFont="1" applyFill="1" applyBorder="1" applyAlignment="1" applyProtection="1">
      <alignment horizontal="center" vertical="center" textRotation="90"/>
      <protection hidden="1"/>
    </xf>
    <xf numFmtId="0" fontId="12" fillId="21" borderId="44" xfId="0" applyFont="1" applyFill="1" applyBorder="1" applyAlignment="1" applyProtection="1">
      <alignment horizontal="center" vertical="center" textRotation="90"/>
      <protection hidden="1"/>
    </xf>
    <xf numFmtId="0" fontId="12" fillId="21" borderId="65" xfId="0" applyFont="1" applyFill="1" applyBorder="1" applyAlignment="1" applyProtection="1">
      <alignment horizontal="center" vertical="center" textRotation="90" wrapText="1"/>
      <protection hidden="1"/>
    </xf>
    <xf numFmtId="0" fontId="12" fillId="21" borderId="63" xfId="0" applyFont="1" applyFill="1" applyBorder="1" applyAlignment="1" applyProtection="1">
      <alignment horizontal="center" vertical="center" textRotation="90" wrapText="1"/>
      <protection hidden="1"/>
    </xf>
    <xf numFmtId="0" fontId="12" fillId="21" borderId="66" xfId="0" applyFont="1" applyFill="1" applyBorder="1" applyAlignment="1" applyProtection="1">
      <alignment horizontal="center" vertical="center" textRotation="90" wrapText="1"/>
      <protection hidden="1"/>
    </xf>
    <xf numFmtId="0" fontId="30" fillId="21" borderId="38" xfId="0" applyFont="1" applyFill="1" applyBorder="1" applyAlignment="1" applyProtection="1">
      <alignment horizontal="center" vertical="center"/>
      <protection hidden="1"/>
    </xf>
    <xf numFmtId="0" fontId="30" fillId="21" borderId="9" xfId="0" applyFont="1" applyFill="1" applyBorder="1" applyAlignment="1" applyProtection="1">
      <alignment horizontal="center" vertical="center"/>
      <protection hidden="1"/>
    </xf>
    <xf numFmtId="0" fontId="30" fillId="21" borderId="41" xfId="0" applyFont="1" applyFill="1" applyBorder="1" applyAlignment="1" applyProtection="1">
      <alignment horizontal="center" vertical="center"/>
      <protection hidden="1"/>
    </xf>
    <xf numFmtId="0" fontId="30" fillId="21" borderId="68" xfId="0" applyFont="1" applyFill="1" applyBorder="1" applyAlignment="1" applyProtection="1">
      <alignment horizontal="center" vertical="center" textRotation="90" wrapText="1"/>
      <protection hidden="1"/>
    </xf>
    <xf numFmtId="0" fontId="30" fillId="21" borderId="67" xfId="0" applyFont="1" applyFill="1" applyBorder="1" applyAlignment="1" applyProtection="1">
      <alignment horizontal="center" vertical="center" textRotation="90" wrapText="1"/>
      <protection hidden="1"/>
    </xf>
    <xf numFmtId="0" fontId="30" fillId="21" borderId="47" xfId="0" applyFont="1" applyFill="1" applyBorder="1" applyAlignment="1" applyProtection="1">
      <alignment horizontal="center" vertical="center" textRotation="90" wrapText="1"/>
      <protection hidden="1"/>
    </xf>
    <xf numFmtId="3" fontId="30" fillId="21" borderId="70" xfId="0" applyNumberFormat="1" applyFont="1" applyFill="1" applyBorder="1" applyAlignment="1" applyProtection="1">
      <alignment horizontal="center" vertical="center" wrapText="1"/>
      <protection hidden="1"/>
    </xf>
    <xf numFmtId="3" fontId="30" fillId="21" borderId="62" xfId="0" applyNumberFormat="1" applyFont="1" applyFill="1" applyBorder="1" applyAlignment="1" applyProtection="1">
      <alignment horizontal="center" vertical="center" wrapText="1"/>
      <protection hidden="1"/>
    </xf>
    <xf numFmtId="3" fontId="30" fillId="21" borderId="75" xfId="0" applyNumberFormat="1" applyFont="1" applyFill="1" applyBorder="1" applyAlignment="1" applyProtection="1">
      <alignment horizontal="center" vertical="center" wrapText="1"/>
      <protection hidden="1"/>
    </xf>
    <xf numFmtId="0" fontId="12" fillId="21" borderId="30" xfId="0" applyFont="1" applyFill="1" applyBorder="1" applyAlignment="1" applyProtection="1">
      <alignment horizontal="center" vertical="center"/>
      <protection hidden="1"/>
    </xf>
    <xf numFmtId="0" fontId="12" fillId="21" borderId="11" xfId="0" applyFont="1" applyFill="1" applyBorder="1" applyAlignment="1" applyProtection="1">
      <alignment horizontal="center" vertical="center"/>
      <protection hidden="1"/>
    </xf>
    <xf numFmtId="0" fontId="12" fillId="21" borderId="40" xfId="0" applyFont="1" applyFill="1" applyBorder="1" applyAlignment="1" applyProtection="1">
      <alignment horizontal="center" vertical="center"/>
      <protection hidden="1"/>
    </xf>
    <xf numFmtId="0" fontId="12" fillId="21" borderId="52" xfId="0" applyFont="1" applyFill="1" applyBorder="1" applyAlignment="1" applyProtection="1">
      <alignment horizontal="center" vertical="center"/>
      <protection hidden="1"/>
    </xf>
    <xf numFmtId="0" fontId="12" fillId="21" borderId="37" xfId="0" applyFont="1" applyFill="1" applyBorder="1" applyAlignment="1" applyProtection="1">
      <alignment horizontal="center" vertical="center"/>
      <protection hidden="1"/>
    </xf>
    <xf numFmtId="0" fontId="30" fillId="21" borderId="29" xfId="0" applyFont="1" applyFill="1" applyBorder="1" applyAlignment="1" applyProtection="1">
      <alignment horizontal="center" vertical="center"/>
      <protection hidden="1"/>
    </xf>
    <xf numFmtId="0" fontId="30" fillId="21" borderId="30" xfId="0" applyFont="1" applyFill="1" applyBorder="1" applyAlignment="1" applyProtection="1">
      <alignment horizontal="center" vertical="center"/>
      <protection hidden="1"/>
    </xf>
    <xf numFmtId="0" fontId="30" fillId="21" borderId="11" xfId="0" applyFont="1" applyFill="1" applyBorder="1" applyAlignment="1" applyProtection="1">
      <alignment horizontal="center" vertical="center"/>
      <protection hidden="1"/>
    </xf>
    <xf numFmtId="0" fontId="30" fillId="21" borderId="69" xfId="0" applyFont="1" applyFill="1" applyBorder="1" applyAlignment="1" applyProtection="1">
      <alignment horizontal="center" vertical="center"/>
      <protection hidden="1"/>
    </xf>
    <xf numFmtId="0" fontId="30" fillId="21" borderId="48" xfId="0" applyFont="1" applyFill="1" applyBorder="1" applyAlignment="1" applyProtection="1">
      <alignment horizontal="center" vertical="center"/>
      <protection hidden="1"/>
    </xf>
    <xf numFmtId="0" fontId="30" fillId="21" borderId="42" xfId="0" applyFont="1" applyFill="1" applyBorder="1" applyAlignment="1" applyProtection="1">
      <alignment horizontal="center" vertical="center"/>
      <protection hidden="1"/>
    </xf>
    <xf numFmtId="49" fontId="30" fillId="21" borderId="70" xfId="0" applyNumberFormat="1" applyFont="1" applyFill="1" applyBorder="1" applyAlignment="1" applyProtection="1">
      <alignment horizontal="center" vertical="center" wrapText="1"/>
      <protection hidden="1"/>
    </xf>
    <xf numFmtId="49" fontId="30" fillId="21" borderId="62" xfId="0" applyNumberFormat="1" applyFont="1" applyFill="1" applyBorder="1" applyAlignment="1" applyProtection="1">
      <alignment horizontal="center" vertical="center" wrapText="1"/>
      <protection hidden="1"/>
    </xf>
    <xf numFmtId="49" fontId="30" fillId="21" borderId="75" xfId="0" applyNumberFormat="1" applyFont="1" applyFill="1" applyBorder="1" applyAlignment="1" applyProtection="1">
      <alignment horizontal="center" vertical="center" wrapText="1"/>
      <protection hidden="1"/>
    </xf>
    <xf numFmtId="0" fontId="12" fillId="21" borderId="4" xfId="0" applyFont="1" applyFill="1" applyBorder="1" applyAlignment="1" applyProtection="1">
      <alignment horizontal="center" vertical="center"/>
      <protection hidden="1"/>
    </xf>
    <xf numFmtId="0" fontId="12" fillId="21" borderId="46" xfId="0" applyFont="1" applyFill="1" applyBorder="1" applyAlignment="1" applyProtection="1">
      <alignment horizontal="center" vertical="center"/>
      <protection hidden="1"/>
    </xf>
    <xf numFmtId="0" fontId="12" fillId="21" borderId="36" xfId="0" applyFont="1" applyFill="1" applyBorder="1" applyAlignment="1" applyProtection="1">
      <alignment horizontal="center" vertical="center"/>
      <protection hidden="1"/>
    </xf>
    <xf numFmtId="0" fontId="50" fillId="0" borderId="6" xfId="0" applyFont="1" applyBorder="1" applyAlignment="1" applyProtection="1">
      <alignment horizontal="center" vertical="center"/>
      <protection hidden="1"/>
    </xf>
    <xf numFmtId="0" fontId="50" fillId="0" borderId="7" xfId="0" applyFont="1" applyBorder="1" applyAlignment="1" applyProtection="1">
      <alignment horizontal="center" vertical="center"/>
      <protection hidden="1"/>
    </xf>
    <xf numFmtId="0" fontId="50" fillId="0" borderId="8" xfId="0" applyFont="1" applyBorder="1" applyAlignment="1" applyProtection="1">
      <alignment horizontal="center" vertical="center"/>
      <protection hidden="1"/>
    </xf>
    <xf numFmtId="164" fontId="30" fillId="0" borderId="0" xfId="0" applyNumberFormat="1" applyFont="1" applyAlignment="1" applyProtection="1">
      <alignment horizontal="center" vertical="center"/>
      <protection hidden="1"/>
    </xf>
    <xf numFmtId="0" fontId="30" fillId="0" borderId="0" xfId="0" applyFont="1" applyAlignment="1" applyProtection="1">
      <alignment horizontal="center" vertical="center"/>
      <protection hidden="1"/>
    </xf>
    <xf numFmtId="0" fontId="12" fillId="4" borderId="6" xfId="0" applyFont="1" applyFill="1" applyBorder="1" applyAlignment="1" applyProtection="1">
      <alignment horizontal="center" vertical="center"/>
      <protection hidden="1"/>
    </xf>
    <xf numFmtId="0" fontId="12" fillId="4" borderId="7" xfId="0" applyFont="1" applyFill="1" applyBorder="1" applyAlignment="1" applyProtection="1">
      <alignment horizontal="center" vertical="center"/>
      <protection hidden="1"/>
    </xf>
    <xf numFmtId="0" fontId="12" fillId="4" borderId="8" xfId="0" applyFont="1" applyFill="1" applyBorder="1" applyAlignment="1" applyProtection="1">
      <alignment horizontal="center" vertical="center"/>
      <protection hidden="1"/>
    </xf>
    <xf numFmtId="0" fontId="30" fillId="0" borderId="29" xfId="0" applyFont="1" applyBorder="1" applyAlignment="1" applyProtection="1">
      <alignment horizontal="center" vertical="center"/>
      <protection hidden="1"/>
    </xf>
    <xf numFmtId="0" fontId="30" fillId="0" borderId="56" xfId="0" applyFont="1" applyBorder="1" applyAlignment="1" applyProtection="1">
      <alignment horizontal="center" vertical="center"/>
      <protection hidden="1"/>
    </xf>
    <xf numFmtId="0" fontId="30" fillId="0" borderId="51" xfId="0" applyFont="1" applyBorder="1" applyAlignment="1" applyProtection="1">
      <alignment horizontal="center" vertical="center"/>
      <protection hidden="1"/>
    </xf>
    <xf numFmtId="0" fontId="30" fillId="0" borderId="29" xfId="0" applyFont="1" applyBorder="1" applyAlignment="1" applyProtection="1">
      <alignment horizontal="center"/>
      <protection hidden="1"/>
    </xf>
    <xf numFmtId="0" fontId="30" fillId="0" borderId="45" xfId="0" applyFont="1" applyBorder="1" applyAlignment="1" applyProtection="1">
      <alignment horizontal="center"/>
      <protection hidden="1"/>
    </xf>
    <xf numFmtId="0" fontId="17" fillId="18" borderId="7" xfId="0" applyFont="1" applyFill="1" applyBorder="1" applyAlignment="1" applyProtection="1">
      <alignment horizontal="center" vertical="center" wrapText="1"/>
      <protection hidden="1"/>
    </xf>
    <xf numFmtId="0" fontId="17" fillId="18" borderId="2" xfId="0" applyFont="1" applyFill="1" applyBorder="1" applyAlignment="1" applyProtection="1">
      <alignment horizontal="center" vertical="center" wrapText="1"/>
      <protection hidden="1"/>
    </xf>
    <xf numFmtId="0" fontId="17" fillId="18" borderId="3" xfId="0" applyFont="1" applyFill="1" applyBorder="1" applyAlignment="1" applyProtection="1">
      <alignment horizontal="center" vertical="center" wrapText="1"/>
      <protection hidden="1"/>
    </xf>
    <xf numFmtId="0" fontId="17" fillId="18" borderId="4" xfId="0" applyFont="1" applyFill="1" applyBorder="1" applyAlignment="1" applyProtection="1">
      <alignment horizontal="center" vertical="center" wrapText="1"/>
      <protection hidden="1"/>
    </xf>
    <xf numFmtId="0" fontId="17" fillId="18" borderId="44" xfId="0" applyFont="1" applyFill="1" applyBorder="1" applyAlignment="1" applyProtection="1">
      <alignment horizontal="center" vertical="center" wrapText="1"/>
      <protection hidden="1"/>
    </xf>
    <xf numFmtId="0" fontId="17" fillId="18" borderId="5" xfId="0" applyFont="1" applyFill="1" applyBorder="1" applyAlignment="1" applyProtection="1">
      <alignment horizontal="center" vertical="center" wrapText="1"/>
      <protection hidden="1"/>
    </xf>
    <xf numFmtId="0" fontId="17" fillId="18" borderId="36" xfId="0" applyFont="1" applyFill="1" applyBorder="1" applyAlignment="1" applyProtection="1">
      <alignment horizontal="center" vertical="center" wrapText="1"/>
      <protection hidden="1"/>
    </xf>
    <xf numFmtId="0" fontId="30" fillId="0" borderId="6" xfId="0" applyFont="1" applyBorder="1" applyAlignment="1" applyProtection="1">
      <alignment horizontal="center"/>
      <protection hidden="1"/>
    </xf>
    <xf numFmtId="0" fontId="30" fillId="0" borderId="7" xfId="0" applyFont="1" applyBorder="1" applyAlignment="1" applyProtection="1">
      <alignment horizontal="center"/>
      <protection hidden="1"/>
    </xf>
    <xf numFmtId="0" fontId="30" fillId="0" borderId="8" xfId="0" applyFont="1" applyBorder="1" applyAlignment="1" applyProtection="1">
      <alignment horizontal="center"/>
      <protection hidden="1"/>
    </xf>
    <xf numFmtId="0" fontId="11" fillId="18" borderId="2" xfId="0" applyFont="1" applyFill="1" applyBorder="1" applyAlignment="1" applyProtection="1">
      <alignment horizontal="center" vertical="center"/>
      <protection hidden="1"/>
    </xf>
    <xf numFmtId="0" fontId="11" fillId="18" borderId="3" xfId="0" applyFont="1" applyFill="1" applyBorder="1" applyAlignment="1" applyProtection="1">
      <alignment horizontal="center" vertical="center"/>
      <protection hidden="1"/>
    </xf>
    <xf numFmtId="0" fontId="11" fillId="18" borderId="4" xfId="0" applyFont="1" applyFill="1" applyBorder="1" applyAlignment="1" applyProtection="1">
      <alignment horizontal="center" vertical="center"/>
      <protection hidden="1"/>
    </xf>
    <xf numFmtId="0" fontId="11" fillId="18" borderId="44" xfId="0" applyFont="1" applyFill="1" applyBorder="1" applyAlignment="1" applyProtection="1">
      <alignment horizontal="center" vertical="center"/>
      <protection hidden="1"/>
    </xf>
    <xf numFmtId="0" fontId="11" fillId="18" borderId="5" xfId="0" applyFont="1" applyFill="1" applyBorder="1" applyAlignment="1" applyProtection="1">
      <alignment horizontal="center" vertical="center"/>
      <protection hidden="1"/>
    </xf>
    <xf numFmtId="0" fontId="11" fillId="18" borderId="36" xfId="0" applyFont="1" applyFill="1" applyBorder="1" applyAlignment="1" applyProtection="1">
      <alignment horizontal="center" vertical="center"/>
      <protection hidden="1"/>
    </xf>
    <xf numFmtId="0" fontId="30" fillId="21" borderId="68" xfId="0" applyFont="1" applyFill="1" applyBorder="1" applyAlignment="1" applyProtection="1">
      <alignment horizontal="center" vertical="center"/>
      <protection hidden="1"/>
    </xf>
    <xf numFmtId="0" fontId="30" fillId="21" borderId="67" xfId="0" applyFont="1" applyFill="1" applyBorder="1" applyAlignment="1" applyProtection="1">
      <alignment horizontal="center" vertical="center"/>
      <protection hidden="1"/>
    </xf>
    <xf numFmtId="0" fontId="30" fillId="21" borderId="47" xfId="0" applyFont="1" applyFill="1" applyBorder="1" applyAlignment="1" applyProtection="1">
      <alignment horizontal="center" vertical="center"/>
      <protection hidden="1"/>
    </xf>
    <xf numFmtId="14" fontId="88" fillId="5" borderId="64" xfId="0" applyNumberFormat="1" applyFont="1" applyFill="1" applyBorder="1" applyAlignment="1" applyProtection="1">
      <alignment horizontal="center" vertical="center"/>
      <protection hidden="1"/>
    </xf>
    <xf numFmtId="14" fontId="88" fillId="5" borderId="15" xfId="0" applyNumberFormat="1" applyFont="1" applyFill="1" applyBorder="1" applyAlignment="1" applyProtection="1">
      <alignment horizontal="center" vertical="center"/>
      <protection hidden="1"/>
    </xf>
    <xf numFmtId="14" fontId="88" fillId="5" borderId="50" xfId="0" applyNumberFormat="1" applyFont="1" applyFill="1" applyBorder="1" applyAlignment="1" applyProtection="1">
      <alignment horizontal="center" vertical="center"/>
      <protection hidden="1"/>
    </xf>
    <xf numFmtId="0" fontId="12" fillId="4" borderId="37" xfId="0" applyFont="1" applyFill="1" applyBorder="1" applyAlignment="1" applyProtection="1">
      <alignment horizontal="center" vertical="center"/>
      <protection hidden="1"/>
    </xf>
    <xf numFmtId="0" fontId="12" fillId="4" borderId="40" xfId="0" applyFont="1" applyFill="1" applyBorder="1" applyAlignment="1" applyProtection="1">
      <alignment horizontal="center" vertical="center"/>
      <protection hidden="1"/>
    </xf>
    <xf numFmtId="0" fontId="30" fillId="21" borderId="2" xfId="0" applyFont="1" applyFill="1" applyBorder="1" applyAlignment="1" applyProtection="1">
      <alignment horizontal="center" vertical="center" textRotation="90" wrapText="1"/>
      <protection hidden="1"/>
    </xf>
    <xf numFmtId="0" fontId="30" fillId="21" borderId="10" xfId="0" applyFont="1" applyFill="1" applyBorder="1" applyAlignment="1" applyProtection="1">
      <alignment horizontal="center" vertical="center" textRotation="90" wrapText="1"/>
      <protection hidden="1"/>
    </xf>
    <xf numFmtId="0" fontId="12" fillId="21" borderId="68" xfId="0" applyFont="1" applyFill="1" applyBorder="1" applyAlignment="1" applyProtection="1">
      <alignment horizontal="center" vertical="center" textRotation="90" wrapText="1"/>
      <protection hidden="1"/>
    </xf>
    <xf numFmtId="0" fontId="12" fillId="21" borderId="67" xfId="0" applyFont="1" applyFill="1" applyBorder="1" applyAlignment="1" applyProtection="1">
      <alignment horizontal="center" vertical="center" textRotation="90" wrapText="1"/>
      <protection hidden="1"/>
    </xf>
    <xf numFmtId="0" fontId="12" fillId="21" borderId="47" xfId="0" applyFont="1" applyFill="1" applyBorder="1" applyAlignment="1" applyProtection="1">
      <alignment horizontal="center" vertical="center" textRotation="90" wrapText="1"/>
      <protection hidden="1"/>
    </xf>
    <xf numFmtId="14" fontId="88" fillId="5" borderId="39" xfId="0" quotePrefix="1" applyNumberFormat="1" applyFont="1" applyFill="1" applyBorder="1" applyAlignment="1">
      <alignment horizontal="center" vertical="center"/>
    </xf>
    <xf numFmtId="14" fontId="88" fillId="5" borderId="32" xfId="0" applyNumberFormat="1" applyFont="1" applyFill="1" applyBorder="1" applyAlignment="1">
      <alignment horizontal="center" vertical="center"/>
    </xf>
    <xf numFmtId="14" fontId="88" fillId="5" borderId="57" xfId="0" applyNumberFormat="1" applyFont="1" applyFill="1" applyBorder="1" applyAlignment="1">
      <alignment horizontal="center" vertical="center"/>
    </xf>
    <xf numFmtId="0" fontId="30" fillId="4" borderId="68" xfId="0" applyFont="1" applyFill="1" applyBorder="1" applyAlignment="1" applyProtection="1">
      <alignment horizontal="center" vertical="center"/>
      <protection hidden="1"/>
    </xf>
    <xf numFmtId="0" fontId="30" fillId="4" borderId="67" xfId="0" applyFont="1" applyFill="1" applyBorder="1" applyAlignment="1" applyProtection="1">
      <alignment horizontal="center" vertical="center"/>
      <protection hidden="1"/>
    </xf>
    <xf numFmtId="0" fontId="12" fillId="4" borderId="2" xfId="0" applyFont="1" applyFill="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0" xfId="0" applyFont="1" applyFill="1" applyAlignment="1" applyProtection="1">
      <alignment horizontal="center" vertical="center" wrapText="1"/>
      <protection hidden="1"/>
    </xf>
    <xf numFmtId="0" fontId="12" fillId="4" borderId="46" xfId="0" applyFont="1" applyFill="1" applyBorder="1" applyAlignment="1" applyProtection="1">
      <alignment horizontal="center" vertical="center" wrapText="1"/>
      <protection hidden="1"/>
    </xf>
    <xf numFmtId="0" fontId="30" fillId="21" borderId="65" xfId="0" applyFont="1" applyFill="1" applyBorder="1" applyAlignment="1" applyProtection="1">
      <alignment horizontal="center" vertical="center"/>
      <protection hidden="1"/>
    </xf>
    <xf numFmtId="0" fontId="30" fillId="21" borderId="63" xfId="0" applyFont="1" applyFill="1" applyBorder="1" applyAlignment="1" applyProtection="1">
      <alignment horizontal="center" vertical="center"/>
      <protection hidden="1"/>
    </xf>
    <xf numFmtId="0" fontId="30" fillId="21" borderId="66" xfId="0" applyFont="1" applyFill="1" applyBorder="1" applyAlignment="1" applyProtection="1">
      <alignment horizontal="center" vertical="center"/>
      <protection hidden="1"/>
    </xf>
    <xf numFmtId="14" fontId="30" fillId="5" borderId="38" xfId="0" applyNumberFormat="1" applyFont="1" applyFill="1" applyBorder="1" applyAlignment="1" applyProtection="1">
      <alignment horizontal="center" vertical="center" wrapText="1"/>
      <protection hidden="1"/>
    </xf>
    <xf numFmtId="14" fontId="30" fillId="5" borderId="9" xfId="0" applyNumberFormat="1" applyFont="1" applyFill="1" applyBorder="1" applyAlignment="1" applyProtection="1">
      <alignment horizontal="center" vertical="center" wrapText="1"/>
      <protection hidden="1"/>
    </xf>
    <xf numFmtId="14" fontId="30" fillId="5" borderId="41" xfId="0" applyNumberFormat="1" applyFont="1" applyFill="1" applyBorder="1" applyAlignment="1" applyProtection="1">
      <alignment horizontal="center" vertical="center" wrapText="1"/>
      <protection hidden="1"/>
    </xf>
    <xf numFmtId="14" fontId="30" fillId="5" borderId="64" xfId="0" applyNumberFormat="1" applyFont="1" applyFill="1" applyBorder="1" applyAlignment="1" applyProtection="1">
      <alignment horizontal="center" vertical="center" wrapText="1"/>
      <protection hidden="1"/>
    </xf>
    <xf numFmtId="14" fontId="30" fillId="5" borderId="15" xfId="0" applyNumberFormat="1" applyFont="1" applyFill="1" applyBorder="1" applyAlignment="1" applyProtection="1">
      <alignment horizontal="center" vertical="center" wrapText="1"/>
      <protection hidden="1"/>
    </xf>
    <xf numFmtId="14" fontId="30" fillId="5" borderId="50" xfId="0" applyNumberFormat="1" applyFont="1" applyFill="1" applyBorder="1" applyAlignment="1" applyProtection="1">
      <alignment horizontal="center" vertical="center" wrapText="1"/>
      <protection hidden="1"/>
    </xf>
    <xf numFmtId="0" fontId="17" fillId="18" borderId="2" xfId="0" applyFont="1" applyFill="1" applyBorder="1" applyAlignment="1" applyProtection="1">
      <alignment horizontal="center" vertical="center"/>
      <protection hidden="1"/>
    </xf>
    <xf numFmtId="0" fontId="17" fillId="18" borderId="44" xfId="0" applyFont="1" applyFill="1" applyBorder="1" applyAlignment="1" applyProtection="1">
      <alignment horizontal="center" vertical="center"/>
      <protection hidden="1"/>
    </xf>
    <xf numFmtId="0" fontId="17" fillId="18" borderId="5" xfId="0" applyFont="1" applyFill="1" applyBorder="1" applyAlignment="1" applyProtection="1">
      <alignment horizontal="center" vertical="center"/>
      <protection hidden="1"/>
    </xf>
    <xf numFmtId="0" fontId="17" fillId="18" borderId="36" xfId="0" applyFont="1" applyFill="1" applyBorder="1" applyAlignment="1" applyProtection="1">
      <alignment horizontal="center" vertical="center"/>
      <protection hidden="1"/>
    </xf>
    <xf numFmtId="0" fontId="30" fillId="21" borderId="69" xfId="0" applyFont="1" applyFill="1" applyBorder="1" applyAlignment="1" applyProtection="1">
      <alignment horizontal="center" vertical="center" wrapText="1"/>
      <protection hidden="1"/>
    </xf>
    <xf numFmtId="0" fontId="30" fillId="21" borderId="48" xfId="0" applyFont="1" applyFill="1" applyBorder="1" applyAlignment="1" applyProtection="1">
      <alignment horizontal="center" vertical="center" wrapText="1"/>
      <protection hidden="1"/>
    </xf>
    <xf numFmtId="0" fontId="30" fillId="21" borderId="42" xfId="0" applyFont="1" applyFill="1" applyBorder="1" applyAlignment="1" applyProtection="1">
      <alignment horizontal="center" vertical="center" wrapText="1"/>
      <protection hidden="1"/>
    </xf>
    <xf numFmtId="0" fontId="20" fillId="4" borderId="40" xfId="0" applyFont="1" applyFill="1" applyBorder="1" applyAlignment="1" applyProtection="1">
      <alignment horizontal="center" vertical="center" wrapText="1"/>
      <protection hidden="1"/>
    </xf>
    <xf numFmtId="0" fontId="20" fillId="4" borderId="41" xfId="0" applyFont="1" applyFill="1" applyBorder="1" applyAlignment="1" applyProtection="1">
      <alignment horizontal="center" vertical="center" wrapText="1"/>
      <protection hidden="1"/>
    </xf>
    <xf numFmtId="0" fontId="20" fillId="4" borderId="52" xfId="0" applyFont="1" applyFill="1" applyBorder="1" applyAlignment="1" applyProtection="1">
      <alignment horizontal="center" vertical="center" wrapText="1"/>
      <protection hidden="1"/>
    </xf>
    <xf numFmtId="0" fontId="20" fillId="4" borderId="54" xfId="0" applyFont="1" applyFill="1" applyBorder="1" applyAlignment="1" applyProtection="1">
      <alignment horizontal="center" vertical="center" wrapText="1"/>
      <protection hidden="1"/>
    </xf>
    <xf numFmtId="1" fontId="20" fillId="4" borderId="52" xfId="0" applyNumberFormat="1" applyFont="1" applyFill="1" applyBorder="1" applyAlignment="1" applyProtection="1">
      <alignment horizontal="center" vertical="center" wrapText="1"/>
      <protection hidden="1"/>
    </xf>
    <xf numFmtId="1" fontId="20" fillId="4" borderId="54" xfId="0" applyNumberFormat="1" applyFont="1" applyFill="1" applyBorder="1" applyAlignment="1" applyProtection="1">
      <alignment horizontal="center" vertical="center" wrapText="1"/>
      <protection hidden="1"/>
    </xf>
    <xf numFmtId="0" fontId="20" fillId="4" borderId="35" xfId="0" applyFont="1" applyFill="1" applyBorder="1" applyAlignment="1" applyProtection="1">
      <alignment horizontal="center" vertical="center" wrapText="1"/>
      <protection hidden="1"/>
    </xf>
    <xf numFmtId="0" fontId="82" fillId="18" borderId="6" xfId="0" applyFont="1" applyFill="1" applyBorder="1" applyAlignment="1" applyProtection="1">
      <alignment horizontal="center" vertical="center" wrapText="1"/>
      <protection hidden="1"/>
    </xf>
    <xf numFmtId="0" fontId="82" fillId="18" borderId="7" xfId="0" applyFont="1" applyFill="1" applyBorder="1" applyAlignment="1" applyProtection="1">
      <alignment horizontal="center" vertical="center" wrapText="1"/>
      <protection hidden="1"/>
    </xf>
    <xf numFmtId="0" fontId="82" fillId="18" borderId="8" xfId="0" applyFont="1" applyFill="1" applyBorder="1" applyAlignment="1" applyProtection="1">
      <alignment horizontal="center" vertical="center" wrapText="1"/>
      <protection hidden="1"/>
    </xf>
    <xf numFmtId="0" fontId="20" fillId="4" borderId="37" xfId="0" applyFont="1" applyFill="1" applyBorder="1" applyAlignment="1" applyProtection="1">
      <alignment horizontal="center" vertical="center" wrapText="1"/>
      <protection hidden="1"/>
    </xf>
    <xf numFmtId="0" fontId="20" fillId="4" borderId="38" xfId="0" applyFont="1" applyFill="1" applyBorder="1" applyAlignment="1" applyProtection="1">
      <alignment horizontal="center" vertical="center" wrapText="1"/>
      <protection hidden="1"/>
    </xf>
    <xf numFmtId="0" fontId="20" fillId="4" borderId="29" xfId="0" applyFont="1" applyFill="1" applyBorder="1" applyAlignment="1" applyProtection="1">
      <alignment horizontal="center" vertical="center" wrapText="1"/>
      <protection hidden="1"/>
    </xf>
    <xf numFmtId="0" fontId="20" fillId="4" borderId="45" xfId="0" applyFont="1" applyFill="1" applyBorder="1" applyAlignment="1" applyProtection="1">
      <alignment horizontal="center" vertical="center" wrapText="1"/>
      <protection hidden="1"/>
    </xf>
    <xf numFmtId="14" fontId="20" fillId="4" borderId="38" xfId="0" applyNumberFormat="1" applyFont="1" applyFill="1" applyBorder="1" applyAlignment="1" applyProtection="1">
      <alignment horizontal="center" vertical="center" wrapText="1"/>
      <protection hidden="1"/>
    </xf>
    <xf numFmtId="0" fontId="20" fillId="4" borderId="39" xfId="0" applyFont="1" applyFill="1" applyBorder="1" applyAlignment="1" applyProtection="1">
      <alignment horizontal="center" vertical="center" wrapText="1"/>
      <protection hidden="1"/>
    </xf>
    <xf numFmtId="0" fontId="20" fillId="4" borderId="30" xfId="0" applyFont="1" applyFill="1" applyBorder="1" applyAlignment="1" applyProtection="1">
      <alignment horizontal="center" vertical="center" wrapText="1"/>
      <protection hidden="1"/>
    </xf>
    <xf numFmtId="0" fontId="20" fillId="4" borderId="9" xfId="0" applyFont="1" applyFill="1" applyBorder="1" applyAlignment="1" applyProtection="1">
      <alignment horizontal="center" vertical="center" wrapText="1"/>
      <protection hidden="1"/>
    </xf>
    <xf numFmtId="0" fontId="20" fillId="4" borderId="11" xfId="0" applyFont="1" applyFill="1" applyBorder="1" applyAlignment="1" applyProtection="1">
      <alignment horizontal="center" vertical="center" wrapText="1"/>
      <protection hidden="1"/>
    </xf>
    <xf numFmtId="0" fontId="20" fillId="4" borderId="14" xfId="0" applyFont="1" applyFill="1" applyBorder="1" applyAlignment="1" applyProtection="1">
      <alignment horizontal="center" vertical="center" wrapText="1"/>
      <protection hidden="1"/>
    </xf>
    <xf numFmtId="1" fontId="20" fillId="4" borderId="9" xfId="0" applyNumberFormat="1" applyFont="1" applyFill="1" applyBorder="1" applyAlignment="1" applyProtection="1">
      <alignment horizontal="center" vertical="center" wrapText="1"/>
      <protection hidden="1"/>
    </xf>
    <xf numFmtId="0" fontId="20" fillId="4" borderId="32" xfId="0" applyFont="1" applyFill="1" applyBorder="1" applyAlignment="1" applyProtection="1">
      <alignment horizontal="center" vertical="center" wrapText="1"/>
      <protection hidden="1"/>
    </xf>
    <xf numFmtId="14" fontId="88" fillId="5" borderId="39" xfId="0" quotePrefix="1" applyNumberFormat="1" applyFont="1" applyFill="1" applyBorder="1" applyAlignment="1" applyProtection="1">
      <alignment horizontal="center" vertical="center" wrapText="1"/>
      <protection hidden="1"/>
    </xf>
    <xf numFmtId="0" fontId="12" fillId="21" borderId="2" xfId="0" applyFont="1" applyFill="1" applyBorder="1" applyAlignment="1" applyProtection="1">
      <alignment horizontal="center" vertical="center" wrapText="1"/>
      <protection hidden="1"/>
    </xf>
    <xf numFmtId="0" fontId="12" fillId="21" borderId="3" xfId="0" applyFont="1" applyFill="1" applyBorder="1" applyAlignment="1" applyProtection="1">
      <alignment horizontal="center" vertical="center" wrapText="1"/>
      <protection hidden="1"/>
    </xf>
    <xf numFmtId="0" fontId="12" fillId="21" borderId="10" xfId="0" applyFont="1" applyFill="1" applyBorder="1" applyAlignment="1" applyProtection="1">
      <alignment horizontal="center" vertical="center" wrapText="1"/>
      <protection hidden="1"/>
    </xf>
    <xf numFmtId="0" fontId="12" fillId="21" borderId="0" xfId="0" applyFont="1" applyFill="1" applyAlignment="1" applyProtection="1">
      <alignment horizontal="center" vertical="center" wrapText="1"/>
      <protection hidden="1"/>
    </xf>
    <xf numFmtId="0" fontId="12" fillId="21" borderId="44" xfId="0" applyFont="1" applyFill="1" applyBorder="1" applyAlignment="1" applyProtection="1">
      <alignment horizontal="center" vertical="center" wrapText="1"/>
      <protection hidden="1"/>
    </xf>
    <xf numFmtId="0" fontId="12" fillId="21" borderId="5" xfId="0" applyFont="1" applyFill="1" applyBorder="1" applyAlignment="1" applyProtection="1">
      <alignment horizontal="center" vertical="center" wrapText="1"/>
      <protection hidden="1"/>
    </xf>
    <xf numFmtId="169" fontId="88" fillId="5" borderId="39" xfId="0" quotePrefix="1" applyNumberFormat="1" applyFont="1" applyFill="1" applyBorder="1" applyAlignment="1" applyProtection="1">
      <alignment horizontal="center" vertical="center" wrapText="1"/>
      <protection hidden="1"/>
    </xf>
    <xf numFmtId="169" fontId="30" fillId="12" borderId="39" xfId="0" quotePrefix="1" applyNumberFormat="1" applyFont="1" applyFill="1" applyBorder="1" applyAlignment="1" applyProtection="1">
      <alignment horizontal="center" vertical="center" wrapText="1"/>
      <protection hidden="1"/>
    </xf>
    <xf numFmtId="0" fontId="65" fillId="12" borderId="32" xfId="0" applyFont="1" applyFill="1" applyBorder="1" applyAlignment="1" applyProtection="1">
      <alignment horizontal="center" vertical="center" wrapText="1"/>
      <protection hidden="1"/>
    </xf>
    <xf numFmtId="0" fontId="65" fillId="12" borderId="35" xfId="0" applyFont="1" applyFill="1" applyBorder="1" applyAlignment="1" applyProtection="1">
      <alignment horizontal="center" vertical="center" wrapText="1"/>
      <protection hidden="1"/>
    </xf>
    <xf numFmtId="0" fontId="88" fillId="5" borderId="39" xfId="0" quotePrefix="1" applyFont="1" applyFill="1" applyBorder="1" applyAlignment="1">
      <alignment horizontal="center" vertical="center"/>
    </xf>
    <xf numFmtId="0" fontId="88" fillId="5" borderId="32" xfId="0" applyFont="1" applyFill="1" applyBorder="1" applyAlignment="1">
      <alignment horizontal="center" vertical="center"/>
    </xf>
    <xf numFmtId="0" fontId="88" fillId="5" borderId="35" xfId="0" applyFont="1" applyFill="1" applyBorder="1" applyAlignment="1">
      <alignment horizontal="center" vertical="center"/>
    </xf>
    <xf numFmtId="14" fontId="88" fillId="5" borderId="35" xfId="0" applyNumberFormat="1" applyFont="1" applyFill="1" applyBorder="1" applyAlignment="1">
      <alignment horizontal="center" vertical="center"/>
    </xf>
    <xf numFmtId="0" fontId="30" fillId="12" borderId="39" xfId="0" quotePrefix="1"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2" fillId="4" borderId="6" xfId="0" applyFont="1" applyFill="1" applyBorder="1" applyAlignment="1" applyProtection="1">
      <alignment horizontal="center" vertical="center" wrapText="1"/>
      <protection hidden="1"/>
    </xf>
    <xf numFmtId="0" fontId="12" fillId="4" borderId="7" xfId="0" applyFont="1" applyFill="1" applyBorder="1" applyAlignment="1" applyProtection="1">
      <alignment horizontal="center" vertical="center" wrapText="1"/>
      <protection hidden="1"/>
    </xf>
    <xf numFmtId="0" fontId="12" fillId="4" borderId="8" xfId="0" applyFont="1" applyFill="1" applyBorder="1" applyAlignment="1" applyProtection="1">
      <alignment horizontal="center" vertical="center" wrapText="1"/>
      <protection hidden="1"/>
    </xf>
    <xf numFmtId="0" fontId="12" fillId="6" borderId="1" xfId="0" applyFont="1" applyFill="1" applyBorder="1" applyAlignment="1">
      <alignment horizontal="right" vertical="center" wrapText="1"/>
    </xf>
    <xf numFmtId="0" fontId="13" fillId="0" borderId="0" xfId="0" applyFont="1" applyAlignment="1" applyProtection="1">
      <alignment horizontal="left" vertical="center" wrapText="1"/>
      <protection hidden="1"/>
    </xf>
    <xf numFmtId="167" fontId="12" fillId="6" borderId="37" xfId="0" applyNumberFormat="1" applyFont="1" applyFill="1" applyBorder="1" applyAlignment="1" applyProtection="1">
      <alignment horizontal="center" vertical="center" wrapText="1"/>
      <protection hidden="1"/>
    </xf>
    <xf numFmtId="167" fontId="12" fillId="6" borderId="39" xfId="0" applyNumberFormat="1" applyFont="1" applyFill="1" applyBorder="1" applyAlignment="1" applyProtection="1">
      <alignment horizontal="center" vertical="center" wrapText="1"/>
      <protection hidden="1"/>
    </xf>
    <xf numFmtId="167" fontId="12" fillId="6" borderId="30" xfId="0" applyNumberFormat="1" applyFont="1" applyFill="1" applyBorder="1" applyAlignment="1" applyProtection="1">
      <alignment horizontal="center" vertical="center" wrapText="1"/>
      <protection hidden="1"/>
    </xf>
    <xf numFmtId="167" fontId="12" fillId="6" borderId="32" xfId="0" applyNumberFormat="1" applyFont="1" applyFill="1" applyBorder="1" applyAlignment="1" applyProtection="1">
      <alignment horizontal="center" vertical="center" wrapText="1"/>
      <protection hidden="1"/>
    </xf>
    <xf numFmtId="167" fontId="12" fillId="6" borderId="40" xfId="0" applyNumberFormat="1" applyFont="1" applyFill="1" applyBorder="1" applyAlignment="1" applyProtection="1">
      <alignment horizontal="center" vertical="center" wrapText="1"/>
      <protection hidden="1"/>
    </xf>
    <xf numFmtId="167" fontId="12" fillId="6" borderId="35" xfId="0" applyNumberFormat="1" applyFont="1" applyFill="1" applyBorder="1" applyAlignment="1" applyProtection="1">
      <alignment horizontal="center" vertical="center" wrapText="1"/>
      <protection hidden="1"/>
    </xf>
    <xf numFmtId="0" fontId="11" fillId="18" borderId="6" xfId="0" applyFont="1" applyFill="1" applyBorder="1" applyAlignment="1" applyProtection="1">
      <alignment horizontal="center" vertical="center" wrapText="1"/>
      <protection hidden="1"/>
    </xf>
    <xf numFmtId="0" fontId="11" fillId="18" borderId="8" xfId="0" applyFont="1" applyFill="1" applyBorder="1" applyAlignment="1" applyProtection="1">
      <alignment horizontal="center" vertical="center" wrapText="1"/>
      <protection hidden="1"/>
    </xf>
    <xf numFmtId="0" fontId="11" fillId="18" borderId="7" xfId="0" applyFont="1" applyFill="1" applyBorder="1" applyAlignment="1" applyProtection="1">
      <alignment horizontal="center" vertical="center" wrapText="1"/>
      <protection hidden="1"/>
    </xf>
    <xf numFmtId="0" fontId="12" fillId="6" borderId="2" xfId="0" applyFont="1" applyFill="1" applyBorder="1" applyAlignment="1" applyProtection="1">
      <alignment horizontal="center" vertical="center" wrapText="1"/>
      <protection hidden="1"/>
    </xf>
    <xf numFmtId="0" fontId="12" fillId="6" borderId="44" xfId="0" applyFont="1" applyFill="1" applyBorder="1" applyAlignment="1" applyProtection="1">
      <alignment horizontal="center" vertical="center" wrapText="1"/>
      <protection hidden="1"/>
    </xf>
    <xf numFmtId="0" fontId="12" fillId="4" borderId="18" xfId="0" applyFont="1" applyFill="1" applyBorder="1" applyAlignment="1" applyProtection="1">
      <alignment horizontal="center" vertical="center" wrapText="1"/>
      <protection hidden="1"/>
    </xf>
    <xf numFmtId="0" fontId="12" fillId="4" borderId="19" xfId="0" applyFont="1" applyFill="1" applyBorder="1" applyAlignment="1" applyProtection="1">
      <alignment horizontal="center" vertical="center" wrapText="1"/>
      <protection hidden="1"/>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167" fontId="30" fillId="6" borderId="38" xfId="0" applyNumberFormat="1" applyFont="1" applyFill="1" applyBorder="1" applyAlignment="1" applyProtection="1">
      <alignment horizontal="center" vertical="center" wrapText="1"/>
      <protection hidden="1"/>
    </xf>
    <xf numFmtId="167" fontId="30" fillId="6" borderId="9" xfId="0" applyNumberFormat="1" applyFont="1" applyFill="1" applyBorder="1" applyAlignment="1" applyProtection="1">
      <alignment horizontal="center" vertical="center" wrapText="1"/>
      <protection hidden="1"/>
    </xf>
    <xf numFmtId="167" fontId="30" fillId="6" borderId="41" xfId="0" applyNumberFormat="1" applyFont="1" applyFill="1" applyBorder="1" applyAlignment="1" applyProtection="1">
      <alignment horizontal="center" vertical="center" wrapText="1"/>
      <protection hidden="1"/>
    </xf>
    <xf numFmtId="1" fontId="30" fillId="6" borderId="38" xfId="0" applyNumberFormat="1" applyFont="1" applyFill="1" applyBorder="1" applyAlignment="1" applyProtection="1">
      <alignment horizontal="center" vertical="center" wrapText="1"/>
      <protection hidden="1"/>
    </xf>
    <xf numFmtId="1" fontId="30" fillId="6" borderId="9" xfId="0" applyNumberFormat="1" applyFont="1" applyFill="1" applyBorder="1" applyAlignment="1" applyProtection="1">
      <alignment horizontal="center" vertical="center" wrapText="1"/>
      <protection hidden="1"/>
    </xf>
    <xf numFmtId="1" fontId="30" fillId="6" borderId="41" xfId="0" applyNumberFormat="1" applyFont="1" applyFill="1" applyBorder="1" applyAlignment="1" applyProtection="1">
      <alignment horizontal="center" vertical="center" wrapText="1"/>
      <protection hidden="1"/>
    </xf>
    <xf numFmtId="0" fontId="44" fillId="6" borderId="6" xfId="0" applyFont="1" applyFill="1" applyBorder="1" applyAlignment="1">
      <alignment horizontal="center" vertical="center" wrapText="1"/>
    </xf>
    <xf numFmtId="0" fontId="44" fillId="6" borderId="8" xfId="0" applyFont="1" applyFill="1" applyBorder="1" applyAlignment="1">
      <alignment horizontal="center" vertical="center" wrapText="1"/>
    </xf>
    <xf numFmtId="0" fontId="44" fillId="6" borderId="68" xfId="0" applyFont="1" applyFill="1" applyBorder="1" applyAlignment="1">
      <alignment horizontal="center" vertical="center" wrapText="1"/>
    </xf>
    <xf numFmtId="0" fontId="41" fillId="17" borderId="4" xfId="6" applyFont="1" applyBorder="1" applyAlignment="1" applyProtection="1">
      <alignment horizontal="center" vertical="center" wrapText="1"/>
      <protection locked="0" hidden="1"/>
    </xf>
    <xf numFmtId="0" fontId="41" fillId="17" borderId="36" xfId="6" applyFont="1" applyBorder="1" applyAlignment="1" applyProtection="1">
      <alignment horizontal="center" vertical="center" wrapText="1"/>
      <protection locked="0" hidden="1"/>
    </xf>
    <xf numFmtId="0" fontId="12" fillId="4" borderId="20" xfId="0" applyFont="1" applyFill="1" applyBorder="1" applyAlignment="1" applyProtection="1">
      <alignment horizontal="center" vertical="center" wrapText="1"/>
      <protection hidden="1"/>
    </xf>
    <xf numFmtId="0" fontId="30" fillId="5" borderId="26" xfId="0" applyFont="1" applyFill="1" applyBorder="1" applyAlignment="1" applyProtection="1">
      <alignment horizontal="center" vertical="center" wrapText="1"/>
      <protection hidden="1"/>
    </xf>
    <xf numFmtId="0" fontId="30" fillId="5" borderId="7" xfId="0" applyFont="1" applyFill="1" applyBorder="1" applyAlignment="1" applyProtection="1">
      <alignment horizontal="center" vertical="center" wrapText="1"/>
      <protection hidden="1"/>
    </xf>
    <xf numFmtId="0" fontId="30" fillId="5" borderId="8" xfId="0" applyFont="1" applyFill="1" applyBorder="1" applyAlignment="1" applyProtection="1">
      <alignment horizontal="center" vertical="center" wrapText="1"/>
      <protection hidden="1"/>
    </xf>
    <xf numFmtId="2" fontId="30" fillId="6" borderId="9" xfId="0" applyNumberFormat="1" applyFont="1" applyFill="1" applyBorder="1" applyAlignment="1" applyProtection="1">
      <alignment horizontal="center" vertical="center" wrapText="1"/>
      <protection hidden="1"/>
    </xf>
    <xf numFmtId="14" fontId="30" fillId="6" borderId="9" xfId="0" applyNumberFormat="1" applyFont="1" applyFill="1" applyBorder="1" applyAlignment="1" applyProtection="1">
      <alignment horizontal="center" vertical="center" wrapText="1"/>
      <protection hidden="1"/>
    </xf>
    <xf numFmtId="1" fontId="30" fillId="4" borderId="9" xfId="0" applyNumberFormat="1" applyFont="1" applyFill="1" applyBorder="1" applyAlignment="1" applyProtection="1">
      <alignment horizontal="center" vertical="center" wrapText="1"/>
      <protection hidden="1"/>
    </xf>
    <xf numFmtId="1" fontId="30" fillId="6" borderId="30" xfId="0" applyNumberFormat="1" applyFont="1" applyFill="1" applyBorder="1" applyAlignment="1" applyProtection="1">
      <alignment horizontal="center" vertical="center" wrapText="1"/>
      <protection hidden="1"/>
    </xf>
    <xf numFmtId="2" fontId="30" fillId="4" borderId="9" xfId="0" applyNumberFormat="1" applyFont="1" applyFill="1" applyBorder="1" applyAlignment="1" applyProtection="1">
      <alignment horizontal="center" vertical="center" wrapText="1"/>
      <protection hidden="1"/>
    </xf>
    <xf numFmtId="0" fontId="12" fillId="4" borderId="55" xfId="0" applyFont="1" applyFill="1" applyBorder="1" applyAlignment="1" applyProtection="1">
      <alignment horizontal="left" vertical="center" wrapText="1"/>
      <protection hidden="1"/>
    </xf>
    <xf numFmtId="0" fontId="12" fillId="4" borderId="56" xfId="0" applyFont="1" applyFill="1" applyBorder="1" applyAlignment="1" applyProtection="1">
      <alignment horizontal="left" vertical="center" wrapText="1"/>
      <protection hidden="1"/>
    </xf>
    <xf numFmtId="0" fontId="12" fillId="4" borderId="6" xfId="0" applyFont="1" applyFill="1" applyBorder="1" applyAlignment="1" applyProtection="1">
      <alignment horizontal="left" vertical="center" wrapText="1"/>
      <protection hidden="1"/>
    </xf>
    <xf numFmtId="0" fontId="12" fillId="4" borderId="7" xfId="0" applyFont="1" applyFill="1" applyBorder="1" applyAlignment="1" applyProtection="1">
      <alignment horizontal="left" vertical="center" wrapText="1"/>
      <protection hidden="1"/>
    </xf>
    <xf numFmtId="0" fontId="30" fillId="6" borderId="49" xfId="0" applyFont="1" applyFill="1" applyBorder="1" applyAlignment="1" applyProtection="1">
      <alignment horizontal="center" vertical="center" wrapText="1"/>
      <protection hidden="1"/>
    </xf>
    <xf numFmtId="0" fontId="30" fillId="6" borderId="60" xfId="0" applyFont="1" applyFill="1" applyBorder="1" applyAlignment="1" applyProtection="1">
      <alignment horizontal="center" vertical="center" wrapText="1"/>
      <protection hidden="1"/>
    </xf>
    <xf numFmtId="0" fontId="30" fillId="6" borderId="33" xfId="0" applyFont="1" applyFill="1" applyBorder="1" applyAlignment="1" applyProtection="1">
      <alignment horizontal="center" vertical="center" wrapText="1"/>
      <protection hidden="1"/>
    </xf>
    <xf numFmtId="0" fontId="30" fillId="6" borderId="31"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12" fillId="0" borderId="6" xfId="0" applyFont="1" applyBorder="1" applyAlignment="1" applyProtection="1">
      <alignment horizontal="center" vertical="center" wrapText="1"/>
      <protection hidden="1"/>
    </xf>
    <xf numFmtId="0" fontId="12" fillId="0" borderId="7" xfId="0" applyFont="1" applyBorder="1" applyAlignment="1" applyProtection="1">
      <alignment horizontal="center" vertical="center" wrapText="1"/>
      <protection hidden="1"/>
    </xf>
    <xf numFmtId="0" fontId="12" fillId="0" borderId="8" xfId="0" applyFont="1" applyBorder="1" applyAlignment="1" applyProtection="1">
      <alignment horizontal="center" vertical="center" wrapText="1"/>
      <protection hidden="1"/>
    </xf>
    <xf numFmtId="169" fontId="30" fillId="6" borderId="26" xfId="0" applyNumberFormat="1" applyFont="1" applyFill="1" applyBorder="1" applyAlignment="1" applyProtection="1">
      <alignment horizontal="center" vertical="center" wrapText="1"/>
      <protection hidden="1"/>
    </xf>
    <xf numFmtId="169" fontId="30" fillId="6" borderId="20" xfId="0" applyNumberFormat="1" applyFont="1" applyFill="1" applyBorder="1" applyAlignment="1" applyProtection="1">
      <alignment horizontal="center" vertical="center" wrapText="1"/>
      <protection hidden="1"/>
    </xf>
    <xf numFmtId="14" fontId="30" fillId="6" borderId="21" xfId="0" applyNumberFormat="1" applyFont="1" applyFill="1" applyBorder="1" applyAlignment="1" applyProtection="1">
      <alignment horizontal="center" vertical="center" wrapText="1"/>
      <protection hidden="1"/>
    </xf>
    <xf numFmtId="14" fontId="30" fillId="6" borderId="19" xfId="0" applyNumberFormat="1" applyFont="1" applyFill="1" applyBorder="1" applyAlignment="1" applyProtection="1">
      <alignment horizontal="center" vertical="center" wrapText="1"/>
      <protection hidden="1"/>
    </xf>
    <xf numFmtId="0" fontId="17" fillId="3" borderId="2" xfId="0" applyFont="1" applyFill="1" applyBorder="1" applyAlignment="1" applyProtection="1">
      <alignment horizontal="center" vertical="center" wrapText="1"/>
      <protection hidden="1"/>
    </xf>
    <xf numFmtId="0" fontId="17" fillId="3" borderId="3" xfId="0" applyFont="1" applyFill="1" applyBorder="1" applyAlignment="1" applyProtection="1">
      <alignment horizontal="center" vertical="center" wrapText="1"/>
      <protection hidden="1"/>
    </xf>
    <xf numFmtId="0" fontId="17" fillId="3" borderId="4" xfId="0" applyFont="1" applyFill="1" applyBorder="1" applyAlignment="1" applyProtection="1">
      <alignment horizontal="center" vertical="center" wrapText="1"/>
      <protection hidden="1"/>
    </xf>
    <xf numFmtId="0" fontId="12" fillId="4" borderId="49" xfId="0" applyFont="1" applyFill="1" applyBorder="1" applyAlignment="1" applyProtection="1">
      <alignment horizontal="center" vertical="center" wrapText="1"/>
      <protection hidden="1"/>
    </xf>
    <xf numFmtId="0" fontId="12" fillId="4" borderId="79" xfId="0" applyFont="1" applyFill="1" applyBorder="1" applyAlignment="1" applyProtection="1">
      <alignment horizontal="center" vertical="center" wrapText="1"/>
      <protection hidden="1"/>
    </xf>
    <xf numFmtId="169" fontId="30" fillId="6" borderId="32" xfId="0" applyNumberFormat="1" applyFont="1" applyFill="1" applyBorder="1" applyAlignment="1" applyProtection="1">
      <alignment horizontal="center" vertical="center" wrapText="1"/>
      <protection hidden="1"/>
    </xf>
    <xf numFmtId="0" fontId="30" fillId="4" borderId="9" xfId="0" applyFont="1" applyFill="1" applyBorder="1" applyAlignment="1" applyProtection="1">
      <alignment horizontal="center" vertical="center" wrapText="1"/>
      <protection hidden="1"/>
    </xf>
    <xf numFmtId="0" fontId="17" fillId="3" borderId="6" xfId="0" applyFont="1" applyFill="1" applyBorder="1" applyAlignment="1" applyProtection="1">
      <alignment horizontal="center" vertical="center" wrapText="1"/>
      <protection hidden="1"/>
    </xf>
    <xf numFmtId="0" fontId="17" fillId="3" borderId="7" xfId="0" applyFont="1" applyFill="1" applyBorder="1" applyAlignment="1" applyProtection="1">
      <alignment horizontal="center" vertical="center" wrapText="1"/>
      <protection hidden="1"/>
    </xf>
    <xf numFmtId="0" fontId="17" fillId="3" borderId="8" xfId="0" applyFont="1" applyFill="1" applyBorder="1" applyAlignment="1" applyProtection="1">
      <alignment horizontal="center" vertical="center" wrapText="1"/>
      <protection hidden="1"/>
    </xf>
    <xf numFmtId="0" fontId="12" fillId="4" borderId="3" xfId="0" applyFont="1" applyFill="1" applyBorder="1" applyAlignment="1">
      <alignment horizontal="center" vertical="center" wrapText="1"/>
    </xf>
    <xf numFmtId="0" fontId="12" fillId="4" borderId="26" xfId="0" applyFont="1" applyFill="1" applyBorder="1" applyAlignment="1" applyProtection="1">
      <alignment horizontal="center" vertical="center" wrapText="1"/>
      <protection hidden="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30" fillId="6" borderId="69" xfId="0" applyFont="1" applyFill="1" applyBorder="1" applyAlignment="1" applyProtection="1">
      <alignment horizontal="center" vertical="center" wrapText="1"/>
      <protection hidden="1"/>
    </xf>
    <xf numFmtId="0" fontId="30" fillId="6" borderId="42" xfId="0" applyFont="1" applyFill="1" applyBorder="1" applyAlignment="1" applyProtection="1">
      <alignment horizontal="center" vertical="center" wrapText="1"/>
      <protection hidden="1"/>
    </xf>
    <xf numFmtId="0" fontId="30" fillId="6" borderId="37" xfId="0" applyFont="1" applyFill="1" applyBorder="1" applyAlignment="1" applyProtection="1">
      <alignment horizontal="center" vertical="center" wrapText="1"/>
      <protection hidden="1"/>
    </xf>
    <xf numFmtId="0" fontId="30" fillId="6" borderId="40" xfId="0" applyFont="1" applyFill="1" applyBorder="1" applyAlignment="1" applyProtection="1">
      <alignment horizontal="center" vertical="center" wrapText="1"/>
      <protection hidden="1"/>
    </xf>
    <xf numFmtId="0" fontId="30" fillId="0" borderId="0" xfId="0" applyFont="1" applyAlignment="1" applyProtection="1">
      <alignment horizontal="left" vertical="center" wrapText="1"/>
      <protection hidden="1"/>
    </xf>
    <xf numFmtId="14" fontId="17" fillId="18" borderId="6" xfId="0" applyNumberFormat="1" applyFont="1" applyFill="1" applyBorder="1" applyAlignment="1" applyProtection="1">
      <alignment horizontal="center" vertical="center" wrapText="1"/>
      <protection hidden="1"/>
    </xf>
    <xf numFmtId="14" fontId="17" fillId="18" borderId="7" xfId="0" applyNumberFormat="1" applyFont="1" applyFill="1" applyBorder="1" applyAlignment="1" applyProtection="1">
      <alignment horizontal="center" vertical="center" wrapText="1"/>
      <protection hidden="1"/>
    </xf>
    <xf numFmtId="14" fontId="17" fillId="18" borderId="8" xfId="0" applyNumberFormat="1" applyFont="1" applyFill="1" applyBorder="1" applyAlignment="1" applyProtection="1">
      <alignment horizontal="center" vertical="center" wrapText="1"/>
      <protection hidden="1"/>
    </xf>
    <xf numFmtId="0" fontId="2" fillId="0" borderId="14" xfId="0" applyFont="1" applyBorder="1" applyAlignment="1" applyProtection="1">
      <alignment horizontal="left" vertical="center"/>
      <protection hidden="1"/>
    </xf>
    <xf numFmtId="0" fontId="2" fillId="0" borderId="9" xfId="0" applyFont="1" applyBorder="1" applyAlignment="1" applyProtection="1">
      <alignment horizontal="left" vertical="center"/>
      <protection hidden="1"/>
    </xf>
    <xf numFmtId="0" fontId="66" fillId="18" borderId="2" xfId="0" applyFont="1" applyFill="1" applyBorder="1" applyAlignment="1">
      <alignment horizontal="center" vertical="center"/>
    </xf>
    <xf numFmtId="0" fontId="66" fillId="18" borderId="3" xfId="0" applyFont="1" applyFill="1" applyBorder="1" applyAlignment="1">
      <alignment horizontal="center" vertical="center"/>
    </xf>
    <xf numFmtId="0" fontId="66" fillId="18" borderId="4" xfId="0" applyFont="1" applyFill="1" applyBorder="1" applyAlignment="1">
      <alignment horizontal="center" vertical="center"/>
    </xf>
    <xf numFmtId="0" fontId="66" fillId="18" borderId="44" xfId="0" applyFont="1" applyFill="1" applyBorder="1" applyAlignment="1">
      <alignment horizontal="center" vertical="center"/>
    </xf>
    <xf numFmtId="0" fontId="66" fillId="18" borderId="5" xfId="0" applyFont="1" applyFill="1" applyBorder="1" applyAlignment="1">
      <alignment horizontal="center" vertical="center"/>
    </xf>
    <xf numFmtId="0" fontId="66" fillId="18" borderId="36" xfId="0" applyFont="1" applyFill="1" applyBorder="1" applyAlignment="1">
      <alignment horizontal="center" vertical="center"/>
    </xf>
    <xf numFmtId="0" fontId="17" fillId="18" borderId="6"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18" borderId="8" xfId="0" applyFont="1" applyFill="1" applyBorder="1" applyAlignment="1">
      <alignment horizontal="center" vertical="center" wrapText="1"/>
    </xf>
    <xf numFmtId="167" fontId="30" fillId="5" borderId="2" xfId="0" applyNumberFormat="1" applyFont="1" applyFill="1" applyBorder="1" applyAlignment="1" applyProtection="1">
      <alignment horizontal="center" vertical="center" wrapText="1"/>
      <protection locked="0" hidden="1"/>
    </xf>
    <xf numFmtId="167" fontId="30" fillId="5" borderId="3" xfId="0" applyNumberFormat="1" applyFont="1" applyFill="1" applyBorder="1" applyAlignment="1" applyProtection="1">
      <alignment horizontal="center" vertical="center" wrapText="1"/>
      <protection locked="0" hidden="1"/>
    </xf>
    <xf numFmtId="167" fontId="30" fillId="5" borderId="4" xfId="0" applyNumberFormat="1" applyFont="1" applyFill="1" applyBorder="1" applyAlignment="1" applyProtection="1">
      <alignment horizontal="center" vertical="center" wrapText="1"/>
      <protection locked="0" hidden="1"/>
    </xf>
    <xf numFmtId="167" fontId="30" fillId="5" borderId="10" xfId="0" applyNumberFormat="1" applyFont="1" applyFill="1" applyBorder="1" applyAlignment="1" applyProtection="1">
      <alignment horizontal="center" vertical="center" wrapText="1"/>
      <protection locked="0" hidden="1"/>
    </xf>
    <xf numFmtId="167" fontId="30" fillId="5" borderId="0" xfId="0" applyNumberFormat="1" applyFont="1" applyFill="1" applyAlignment="1" applyProtection="1">
      <alignment horizontal="center" vertical="center" wrapText="1"/>
      <protection locked="0" hidden="1"/>
    </xf>
    <xf numFmtId="167" fontId="30" fillId="5" borderId="46" xfId="0" applyNumberFormat="1" applyFont="1" applyFill="1" applyBorder="1" applyAlignment="1" applyProtection="1">
      <alignment horizontal="center" vertical="center" wrapText="1"/>
      <protection locked="0" hidden="1"/>
    </xf>
    <xf numFmtId="167" fontId="30" fillId="5" borderId="44" xfId="0" applyNumberFormat="1" applyFont="1" applyFill="1" applyBorder="1" applyAlignment="1" applyProtection="1">
      <alignment horizontal="center" vertical="center" wrapText="1"/>
      <protection locked="0" hidden="1"/>
    </xf>
    <xf numFmtId="167" fontId="30" fillId="5" borderId="5" xfId="0" applyNumberFormat="1" applyFont="1" applyFill="1" applyBorder="1" applyAlignment="1" applyProtection="1">
      <alignment horizontal="center" vertical="center" wrapText="1"/>
      <protection locked="0" hidden="1"/>
    </xf>
    <xf numFmtId="167" fontId="30" fillId="5" borderId="36" xfId="0" applyNumberFormat="1" applyFont="1" applyFill="1" applyBorder="1" applyAlignment="1" applyProtection="1">
      <alignment horizontal="center" vertical="center" wrapText="1"/>
      <protection locked="0" hidden="1"/>
    </xf>
    <xf numFmtId="0" fontId="12" fillId="0" borderId="0" xfId="0" applyFont="1" applyAlignment="1" applyProtection="1">
      <alignment horizontal="center" vertical="center" wrapText="1"/>
      <protection hidden="1"/>
    </xf>
    <xf numFmtId="0" fontId="44" fillId="6" borderId="47" xfId="0" applyFont="1" applyFill="1" applyBorder="1" applyAlignment="1">
      <alignment horizontal="center" vertical="center" wrapText="1"/>
    </xf>
    <xf numFmtId="0" fontId="12" fillId="6" borderId="6" xfId="0" applyFont="1" applyFill="1" applyBorder="1" applyAlignment="1">
      <alignment horizontal="right" vertical="center" wrapText="1"/>
    </xf>
    <xf numFmtId="0" fontId="12" fillId="6" borderId="8" xfId="0" applyFont="1" applyFill="1" applyBorder="1" applyAlignment="1">
      <alignment horizontal="right" vertical="center" wrapText="1"/>
    </xf>
    <xf numFmtId="0" fontId="12" fillId="6" borderId="44" xfId="0" applyFont="1" applyFill="1" applyBorder="1" applyAlignment="1">
      <alignment horizontal="right" vertical="center" wrapText="1"/>
    </xf>
    <xf numFmtId="0" fontId="12" fillId="6" borderId="36" xfId="0" applyFont="1" applyFill="1" applyBorder="1" applyAlignment="1">
      <alignment horizontal="right" vertical="center" wrapText="1"/>
    </xf>
    <xf numFmtId="0" fontId="12" fillId="6" borderId="47" xfId="0" applyFont="1" applyFill="1" applyBorder="1" applyAlignment="1">
      <alignment horizontal="right" vertical="center" wrapText="1"/>
    </xf>
    <xf numFmtId="0" fontId="11" fillId="3" borderId="2" xfId="0"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0" fontId="11" fillId="3" borderId="4" xfId="0" applyFont="1" applyFill="1" applyBorder="1" applyAlignment="1" applyProtection="1">
      <alignment horizontal="center" vertical="center" wrapText="1"/>
      <protection hidden="1"/>
    </xf>
    <xf numFmtId="0" fontId="12" fillId="4" borderId="68" xfId="0" applyFont="1" applyFill="1" applyBorder="1" applyAlignment="1" applyProtection="1">
      <alignment horizontal="center" vertical="center" wrapText="1"/>
      <protection hidden="1"/>
    </xf>
    <xf numFmtId="0" fontId="12" fillId="4" borderId="67" xfId="0" applyFont="1" applyFill="1" applyBorder="1" applyAlignment="1" applyProtection="1">
      <alignment horizontal="center" vertical="center" wrapText="1"/>
      <protection hidden="1"/>
    </xf>
    <xf numFmtId="0" fontId="12" fillId="4" borderId="71" xfId="0" applyFont="1" applyFill="1" applyBorder="1" applyAlignment="1" applyProtection="1">
      <alignment horizontal="center" vertical="center" wrapText="1"/>
      <protection hidden="1"/>
    </xf>
    <xf numFmtId="0" fontId="12" fillId="4" borderId="82" xfId="0" applyFont="1" applyFill="1" applyBorder="1" applyAlignment="1" applyProtection="1">
      <alignment horizontal="center" vertical="center" wrapText="1"/>
      <protection hidden="1"/>
    </xf>
    <xf numFmtId="169" fontId="30" fillId="6" borderId="33" xfId="0" applyNumberFormat="1" applyFont="1" applyFill="1" applyBorder="1" applyAlignment="1" applyProtection="1">
      <alignment horizontal="center" vertical="center" wrapText="1"/>
      <protection hidden="1"/>
    </xf>
    <xf numFmtId="169" fontId="30" fillId="6" borderId="31" xfId="0" applyNumberFormat="1" applyFont="1" applyFill="1" applyBorder="1" applyAlignment="1" applyProtection="1">
      <alignment horizontal="center" vertical="center" wrapText="1"/>
      <protection hidden="1"/>
    </xf>
    <xf numFmtId="0" fontId="11" fillId="18" borderId="3" xfId="0" applyFont="1" applyFill="1" applyBorder="1" applyAlignment="1" applyProtection="1">
      <alignment horizontal="center" vertical="center" wrapText="1"/>
      <protection hidden="1"/>
    </xf>
    <xf numFmtId="0" fontId="11" fillId="18" borderId="4" xfId="0" applyFont="1" applyFill="1" applyBorder="1" applyAlignment="1" applyProtection="1">
      <alignment horizontal="center" vertical="center" wrapText="1"/>
      <protection hidden="1"/>
    </xf>
    <xf numFmtId="14" fontId="64" fillId="18" borderId="10" xfId="0" applyNumberFormat="1" applyFont="1" applyFill="1" applyBorder="1" applyAlignment="1" applyProtection="1">
      <alignment horizontal="center" vertical="center" wrapText="1"/>
      <protection hidden="1"/>
    </xf>
    <xf numFmtId="14" fontId="64" fillId="18" borderId="0" xfId="0" applyNumberFormat="1" applyFont="1" applyFill="1" applyAlignment="1" applyProtection="1">
      <alignment horizontal="center" vertical="center" wrapText="1"/>
      <protection hidden="1"/>
    </xf>
    <xf numFmtId="0" fontId="30" fillId="6" borderId="12" xfId="0" applyFont="1" applyFill="1" applyBorder="1" applyAlignment="1" applyProtection="1">
      <alignment horizontal="center" vertical="center" wrapText="1"/>
      <protection hidden="1"/>
    </xf>
    <xf numFmtId="0" fontId="30" fillId="6" borderId="17" xfId="0" applyFont="1" applyFill="1" applyBorder="1" applyAlignment="1" applyProtection="1">
      <alignment horizontal="center" vertical="center" wrapText="1"/>
      <protection hidden="1"/>
    </xf>
    <xf numFmtId="0" fontId="30" fillId="6" borderId="9" xfId="0" applyFont="1" applyFill="1" applyBorder="1" applyAlignment="1" applyProtection="1">
      <alignment horizontal="center" vertical="center" wrapText="1"/>
      <protection hidden="1"/>
    </xf>
    <xf numFmtId="0" fontId="11" fillId="18" borderId="20" xfId="0" applyFont="1" applyFill="1" applyBorder="1" applyAlignment="1" applyProtection="1">
      <alignment horizontal="center" vertical="center" wrapText="1"/>
      <protection hidden="1"/>
    </xf>
    <xf numFmtId="0" fontId="11" fillId="18" borderId="26" xfId="0" applyFont="1" applyFill="1" applyBorder="1" applyAlignment="1" applyProtection="1">
      <alignment horizontal="center" vertical="center" wrapText="1"/>
      <protection hidden="1"/>
    </xf>
    <xf numFmtId="0" fontId="11" fillId="18" borderId="55" xfId="0" applyFont="1" applyFill="1" applyBorder="1" applyAlignment="1" applyProtection="1">
      <alignment horizontal="center" vertical="center" wrapText="1"/>
      <protection hidden="1"/>
    </xf>
    <xf numFmtId="0" fontId="11" fillId="18" borderId="56" xfId="0" applyFont="1" applyFill="1" applyBorder="1" applyAlignment="1" applyProtection="1">
      <alignment horizontal="center" vertical="center" wrapText="1"/>
      <protection hidden="1"/>
    </xf>
    <xf numFmtId="0" fontId="11" fillId="18" borderId="45" xfId="0" applyFont="1" applyFill="1" applyBorder="1" applyAlignment="1" applyProtection="1">
      <alignment horizontal="center" vertical="center" wrapText="1"/>
      <protection hidden="1"/>
    </xf>
    <xf numFmtId="0" fontId="67" fillId="18" borderId="2" xfId="0" applyFont="1" applyFill="1" applyBorder="1" applyAlignment="1">
      <alignment horizontal="center" vertical="center"/>
    </xf>
    <xf numFmtId="0" fontId="67" fillId="18" borderId="3" xfId="0" applyFont="1" applyFill="1" applyBorder="1" applyAlignment="1">
      <alignment horizontal="center" vertical="center"/>
    </xf>
    <xf numFmtId="0" fontId="67" fillId="18" borderId="4" xfId="0" applyFont="1" applyFill="1" applyBorder="1" applyAlignment="1">
      <alignment horizontal="center" vertical="center"/>
    </xf>
    <xf numFmtId="0" fontId="67" fillId="18" borderId="44" xfId="0" applyFont="1" applyFill="1" applyBorder="1" applyAlignment="1">
      <alignment horizontal="center" vertical="center"/>
    </xf>
    <xf numFmtId="0" fontId="67" fillId="18" borderId="5" xfId="0" applyFont="1" applyFill="1" applyBorder="1" applyAlignment="1">
      <alignment horizontal="center" vertical="center"/>
    </xf>
    <xf numFmtId="0" fontId="67" fillId="18" borderId="36" xfId="0" applyFont="1" applyFill="1" applyBorder="1" applyAlignment="1">
      <alignment horizontal="center" vertical="center"/>
    </xf>
    <xf numFmtId="0" fontId="12" fillId="4" borderId="6"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1" fillId="3" borderId="6" xfId="0" applyFont="1" applyFill="1" applyBorder="1" applyAlignment="1" applyProtection="1">
      <alignment horizontal="center" vertical="center" wrapText="1"/>
      <protection hidden="1"/>
    </xf>
    <xf numFmtId="0" fontId="11" fillId="3" borderId="7"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vertical="center" wrapText="1"/>
      <protection hidden="1"/>
    </xf>
    <xf numFmtId="0" fontId="2" fillId="21" borderId="44" xfId="0" applyFont="1" applyFill="1" applyBorder="1" applyAlignment="1">
      <alignment horizontal="center" vertical="center"/>
    </xf>
    <xf numFmtId="0" fontId="2" fillId="21" borderId="5" xfId="0" applyFont="1" applyFill="1" applyBorder="1" applyAlignment="1">
      <alignment horizontal="center" vertical="center"/>
    </xf>
    <xf numFmtId="0" fontId="2" fillId="21" borderId="36"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2" fillId="0" borderId="11" xfId="0" applyFont="1" applyBorder="1" applyAlignment="1">
      <alignment horizontal="center"/>
    </xf>
    <xf numFmtId="0" fontId="2" fillId="0" borderId="22" xfId="0" applyFont="1" applyBorder="1" applyAlignment="1">
      <alignment horizontal="center"/>
    </xf>
    <xf numFmtId="0" fontId="2" fillId="0" borderId="14" xfId="0" applyFont="1" applyBorder="1" applyAlignment="1">
      <alignment horizontal="center"/>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21" borderId="53" xfId="0" applyFont="1" applyFill="1" applyBorder="1" applyAlignment="1">
      <alignment horizontal="center" vertical="center" wrapText="1"/>
    </xf>
    <xf numFmtId="0" fontId="2" fillId="21" borderId="59" xfId="0" applyFont="1" applyFill="1" applyBorder="1" applyAlignment="1">
      <alignment horizontal="center" vertical="center" wrapText="1"/>
    </xf>
    <xf numFmtId="0" fontId="2" fillId="21" borderId="58"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0" borderId="0" xfId="0" applyFont="1" applyAlignment="1">
      <alignment horizontal="center" vertical="center"/>
    </xf>
    <xf numFmtId="169" fontId="2" fillId="0" borderId="0" xfId="0" applyNumberFormat="1" applyFont="1" applyAlignment="1">
      <alignment horizontal="center" vertical="center"/>
    </xf>
    <xf numFmtId="0" fontId="2" fillId="0" borderId="2"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44" xfId="0" applyFont="1" applyBorder="1" applyAlignment="1" applyProtection="1">
      <alignment horizontal="center" vertical="center" wrapText="1"/>
      <protection hidden="1"/>
    </xf>
    <xf numFmtId="0" fontId="2" fillId="0" borderId="36" xfId="0" applyFont="1" applyBorder="1" applyAlignment="1" applyProtection="1">
      <alignment horizontal="center" vertical="center" wrapText="1"/>
      <protection hidden="1"/>
    </xf>
    <xf numFmtId="169" fontId="12" fillId="21" borderId="78" xfId="0" applyNumberFormat="1" applyFont="1" applyFill="1" applyBorder="1" applyAlignment="1">
      <alignment horizontal="center" vertical="center" wrapText="1"/>
    </xf>
    <xf numFmtId="169" fontId="12" fillId="21" borderId="48" xfId="0" applyNumberFormat="1" applyFont="1" applyFill="1" applyBorder="1" applyAlignment="1">
      <alignment horizontal="center" vertical="center" wrapText="1"/>
    </xf>
    <xf numFmtId="169" fontId="12" fillId="21" borderId="42"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4" xfId="0" applyFont="1" applyFill="1" applyBorder="1" applyAlignment="1">
      <alignment horizontal="center" vertical="center"/>
    </xf>
    <xf numFmtId="0" fontId="11" fillId="7" borderId="5" xfId="0" applyFont="1" applyFill="1" applyBorder="1" applyAlignment="1">
      <alignment horizontal="center" vertical="center"/>
    </xf>
    <xf numFmtId="0" fontId="4" fillId="4" borderId="69" xfId="0" applyFont="1" applyFill="1" applyBorder="1" applyAlignment="1">
      <alignment horizontal="center" vertical="center"/>
    </xf>
    <xf numFmtId="0" fontId="4" fillId="4" borderId="64"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53" xfId="0" applyFont="1" applyFill="1" applyBorder="1" applyAlignment="1" applyProtection="1">
      <alignment horizontal="center" vertical="top" wrapText="1"/>
      <protection hidden="1"/>
    </xf>
    <xf numFmtId="0" fontId="4" fillId="4" borderId="58" xfId="0" applyFont="1" applyFill="1" applyBorder="1" applyAlignment="1" applyProtection="1">
      <alignment horizontal="center" vertical="top" wrapText="1"/>
      <protection hidden="1"/>
    </xf>
    <xf numFmtId="0" fontId="4" fillId="4" borderId="44" xfId="0" applyFont="1" applyFill="1" applyBorder="1" applyAlignment="1" applyProtection="1">
      <alignment horizontal="center" vertical="top" wrapText="1"/>
      <protection hidden="1"/>
    </xf>
    <xf numFmtId="0" fontId="4" fillId="4" borderId="36" xfId="0" applyFont="1" applyFill="1" applyBorder="1" applyAlignment="1" applyProtection="1">
      <alignment horizontal="center" vertical="top" wrapText="1"/>
      <protection hidden="1"/>
    </xf>
    <xf numFmtId="0" fontId="27" fillId="18" borderId="2" xfId="0" applyFont="1" applyFill="1" applyBorder="1" applyAlignment="1" applyProtection="1">
      <alignment horizontal="center" vertical="center" wrapText="1"/>
      <protection hidden="1"/>
    </xf>
    <xf numFmtId="0" fontId="27" fillId="18" borderId="3" xfId="0" applyFont="1" applyFill="1" applyBorder="1" applyAlignment="1" applyProtection="1">
      <alignment horizontal="center" vertical="center" wrapText="1"/>
      <protection hidden="1"/>
    </xf>
    <xf numFmtId="0" fontId="27" fillId="18" borderId="4" xfId="0" applyFont="1" applyFill="1" applyBorder="1" applyAlignment="1" applyProtection="1">
      <alignment horizontal="center" vertical="center" wrapText="1"/>
      <protection hidden="1"/>
    </xf>
    <xf numFmtId="167" fontId="4" fillId="6" borderId="68" xfId="0" applyNumberFormat="1" applyFont="1" applyFill="1" applyBorder="1" applyAlignment="1" applyProtection="1">
      <alignment horizontal="center" vertical="center" wrapText="1"/>
      <protection hidden="1"/>
    </xf>
    <xf numFmtId="167" fontId="4" fillId="6" borderId="67" xfId="0" applyNumberFormat="1" applyFont="1" applyFill="1" applyBorder="1" applyAlignment="1" applyProtection="1">
      <alignment horizontal="center" vertical="center" wrapText="1"/>
      <protection hidden="1"/>
    </xf>
    <xf numFmtId="167" fontId="4" fillId="6" borderId="47" xfId="0" applyNumberFormat="1" applyFont="1" applyFill="1" applyBorder="1" applyAlignment="1" applyProtection="1">
      <alignment horizontal="center" vertical="center" wrapText="1"/>
      <protection hidden="1"/>
    </xf>
    <xf numFmtId="1" fontId="4" fillId="6" borderId="4" xfId="0" applyNumberFormat="1" applyFont="1" applyFill="1" applyBorder="1" applyAlignment="1" applyProtection="1">
      <alignment horizontal="center" vertical="center" wrapText="1"/>
      <protection hidden="1"/>
    </xf>
    <xf numFmtId="1" fontId="4" fillId="6" borderId="46" xfId="0" applyNumberFormat="1" applyFont="1" applyFill="1" applyBorder="1" applyAlignment="1" applyProtection="1">
      <alignment horizontal="center" vertical="center" wrapText="1"/>
      <protection hidden="1"/>
    </xf>
    <xf numFmtId="1" fontId="4" fillId="6" borderId="36" xfId="0" applyNumberFormat="1"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4" fillId="4" borderId="2" xfId="0" applyFont="1" applyFill="1" applyBorder="1" applyAlignment="1" applyProtection="1">
      <alignment horizontal="center" vertical="top" wrapText="1"/>
      <protection hidden="1"/>
    </xf>
    <xf numFmtId="0" fontId="4" fillId="4" borderId="4" xfId="0" applyFont="1" applyFill="1" applyBorder="1" applyAlignment="1" applyProtection="1">
      <alignment horizontal="center" vertical="top" wrapText="1"/>
      <protection hidden="1"/>
    </xf>
    <xf numFmtId="0" fontId="4" fillId="4" borderId="55" xfId="0" applyFont="1" applyFill="1" applyBorder="1" applyAlignment="1" applyProtection="1">
      <alignment horizontal="center" vertical="top"/>
      <protection hidden="1"/>
    </xf>
    <xf numFmtId="0" fontId="4" fillId="4" borderId="51" xfId="0" applyFont="1" applyFill="1" applyBorder="1" applyAlignment="1" applyProtection="1">
      <alignment horizontal="center" vertical="top"/>
      <protection hidden="1"/>
    </xf>
    <xf numFmtId="0" fontId="4" fillId="4" borderId="33" xfId="0" applyFont="1" applyFill="1" applyBorder="1" applyAlignment="1" applyProtection="1">
      <alignment horizontal="center" vertical="top" wrapText="1"/>
      <protection hidden="1"/>
    </xf>
    <xf numFmtId="0" fontId="4" fillId="4" borderId="31" xfId="0" applyFont="1" applyFill="1" applyBorder="1" applyAlignment="1" applyProtection="1">
      <alignment horizontal="center" vertical="top" wrapText="1"/>
      <protection hidden="1"/>
    </xf>
    <xf numFmtId="0" fontId="4" fillId="4" borderId="55" xfId="0" applyFont="1" applyFill="1" applyBorder="1" applyAlignment="1" applyProtection="1">
      <alignment horizontal="center" vertical="top" wrapText="1"/>
      <protection hidden="1"/>
    </xf>
    <xf numFmtId="0" fontId="4" fillId="4" borderId="51" xfId="0" applyFont="1" applyFill="1" applyBorder="1" applyAlignment="1" applyProtection="1">
      <alignment horizontal="center" vertical="top" wrapText="1"/>
      <protection hidden="1"/>
    </xf>
    <xf numFmtId="0" fontId="27" fillId="7" borderId="6" xfId="0" applyFont="1" applyFill="1" applyBorder="1" applyAlignment="1" applyProtection="1">
      <alignment horizontal="center" vertical="center" wrapText="1"/>
      <protection hidden="1"/>
    </xf>
    <xf numFmtId="0" fontId="27" fillId="7" borderId="7" xfId="0" applyFont="1" applyFill="1" applyBorder="1" applyAlignment="1" applyProtection="1">
      <alignment horizontal="center" vertical="center" wrapText="1"/>
      <protection hidden="1"/>
    </xf>
    <xf numFmtId="0" fontId="27" fillId="7" borderId="8" xfId="0" applyFont="1" applyFill="1" applyBorder="1" applyAlignment="1" applyProtection="1">
      <alignment horizontal="center" vertical="center" wrapText="1"/>
      <protection hidden="1"/>
    </xf>
    <xf numFmtId="0" fontId="68" fillId="7" borderId="2" xfId="0" applyFont="1" applyFill="1" applyBorder="1" applyAlignment="1" applyProtection="1">
      <alignment horizontal="center" vertical="center" wrapText="1"/>
      <protection hidden="1"/>
    </xf>
    <xf numFmtId="0" fontId="68" fillId="7" borderId="3" xfId="0" applyFont="1" applyFill="1" applyBorder="1" applyAlignment="1" applyProtection="1">
      <alignment horizontal="center" vertical="center" wrapText="1"/>
      <protection hidden="1"/>
    </xf>
    <xf numFmtId="0" fontId="68" fillId="7" borderId="4" xfId="0" applyFont="1" applyFill="1" applyBorder="1" applyAlignment="1" applyProtection="1">
      <alignment horizontal="center" vertical="center" wrapText="1"/>
      <protection hidden="1"/>
    </xf>
    <xf numFmtId="0" fontId="4" fillId="4" borderId="3" xfId="0" applyFont="1" applyFill="1" applyBorder="1" applyAlignment="1" applyProtection="1">
      <alignment horizontal="center" vertical="top" wrapText="1"/>
      <protection hidden="1"/>
    </xf>
    <xf numFmtId="0" fontId="4" fillId="4" borderId="13" xfId="0" applyFont="1" applyFill="1" applyBorder="1" applyAlignment="1" applyProtection="1">
      <alignment horizontal="center" vertical="top" wrapText="1"/>
      <protection hidden="1"/>
    </xf>
    <xf numFmtId="0" fontId="4" fillId="4" borderId="60" xfId="0" applyFont="1" applyFill="1" applyBorder="1" applyAlignment="1" applyProtection="1">
      <alignment horizontal="center" vertical="top" wrapText="1"/>
      <protection hidden="1"/>
    </xf>
    <xf numFmtId="166" fontId="2" fillId="21" borderId="59" xfId="0" applyNumberFormat="1" applyFont="1" applyFill="1" applyBorder="1" applyAlignment="1" applyProtection="1">
      <alignment horizontal="center" vertical="center"/>
      <protection hidden="1"/>
    </xf>
    <xf numFmtId="166" fontId="2" fillId="21" borderId="58" xfId="0" applyNumberFormat="1" applyFont="1" applyFill="1" applyBorder="1" applyAlignment="1" applyProtection="1">
      <alignment horizontal="center" vertical="center"/>
      <protection hidden="1"/>
    </xf>
    <xf numFmtId="0" fontId="27" fillId="3" borderId="6" xfId="0" applyFont="1" applyFill="1" applyBorder="1" applyAlignment="1" applyProtection="1">
      <alignment horizontal="center" vertical="center" wrapText="1"/>
      <protection hidden="1"/>
    </xf>
    <xf numFmtId="0" fontId="27" fillId="3" borderId="7" xfId="0" applyFont="1" applyFill="1" applyBorder="1" applyAlignment="1" applyProtection="1">
      <alignment horizontal="center" vertical="center" wrapText="1"/>
      <protection hidden="1"/>
    </xf>
    <xf numFmtId="0" fontId="27" fillId="3" borderId="8" xfId="0" applyFont="1" applyFill="1" applyBorder="1" applyAlignment="1" applyProtection="1">
      <alignment horizontal="center" vertical="center" wrapText="1"/>
      <protection hidden="1"/>
    </xf>
    <xf numFmtId="0" fontId="4" fillId="4" borderId="6" xfId="0" applyFont="1" applyFill="1" applyBorder="1" applyAlignment="1" applyProtection="1">
      <alignment horizontal="center" vertical="center" wrapText="1"/>
      <protection hidden="1"/>
    </xf>
    <xf numFmtId="0" fontId="4" fillId="4" borderId="20" xfId="0" applyFont="1" applyFill="1" applyBorder="1" applyAlignment="1" applyProtection="1">
      <alignment horizontal="center" vertical="center" wrapText="1"/>
      <protection hidden="1"/>
    </xf>
    <xf numFmtId="0" fontId="8" fillId="4" borderId="64"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8" fillId="4" borderId="17" xfId="0" applyFont="1" applyFill="1" applyBorder="1" applyAlignment="1" applyProtection="1">
      <alignment horizontal="center" vertical="center" wrapText="1"/>
      <protection hidden="1"/>
    </xf>
    <xf numFmtId="0" fontId="8" fillId="4" borderId="70" xfId="0" applyFont="1" applyFill="1" applyBorder="1" applyAlignment="1" applyProtection="1">
      <alignment horizontal="center" vertical="center" wrapText="1"/>
      <protection hidden="1"/>
    </xf>
    <xf numFmtId="0" fontId="8" fillId="4" borderId="62" xfId="0" applyFont="1" applyFill="1" applyBorder="1" applyAlignment="1" applyProtection="1">
      <alignment horizontal="center" vertical="center" wrapText="1"/>
      <protection hidden="1"/>
    </xf>
    <xf numFmtId="0" fontId="8" fillId="4" borderId="34" xfId="0" applyFont="1" applyFill="1" applyBorder="1" applyAlignment="1" applyProtection="1">
      <alignment horizontal="center" vertical="center" wrapText="1"/>
      <protection hidden="1"/>
    </xf>
    <xf numFmtId="0" fontId="8" fillId="4" borderId="55" xfId="1" applyFont="1" applyFill="1" applyBorder="1" applyAlignment="1" applyProtection="1">
      <alignment horizontal="center" vertical="center" wrapText="1"/>
      <protection hidden="1"/>
    </xf>
    <xf numFmtId="0" fontId="8" fillId="4" borderId="45" xfId="1" applyFont="1" applyFill="1" applyBorder="1" applyAlignment="1" applyProtection="1">
      <alignment horizontal="center" vertical="center" wrapText="1"/>
      <protection hidden="1"/>
    </xf>
    <xf numFmtId="0" fontId="8" fillId="4" borderId="29" xfId="1" applyFont="1" applyFill="1" applyBorder="1" applyAlignment="1" applyProtection="1">
      <alignment horizontal="center" vertical="center" wrapText="1"/>
      <protection hidden="1"/>
    </xf>
    <xf numFmtId="0" fontId="8" fillId="4" borderId="51" xfId="1" applyFont="1" applyFill="1" applyBorder="1" applyAlignment="1" applyProtection="1">
      <alignment horizontal="center" vertical="center" wrapText="1"/>
      <protection hidden="1"/>
    </xf>
    <xf numFmtId="1" fontId="15" fillId="6" borderId="30" xfId="0" applyNumberFormat="1" applyFont="1" applyFill="1" applyBorder="1" applyAlignment="1" applyProtection="1">
      <alignment horizontal="center" vertical="center" wrapText="1"/>
      <protection hidden="1"/>
    </xf>
    <xf numFmtId="1" fontId="15" fillId="6" borderId="40" xfId="0" applyNumberFormat="1" applyFont="1" applyFill="1" applyBorder="1" applyAlignment="1" applyProtection="1">
      <alignment horizontal="center" vertical="center" wrapText="1"/>
      <protection hidden="1"/>
    </xf>
    <xf numFmtId="2" fontId="15" fillId="6" borderId="9" xfId="0" applyNumberFormat="1" applyFont="1" applyFill="1" applyBorder="1" applyAlignment="1" applyProtection="1">
      <alignment horizontal="center" vertical="center" wrapText="1"/>
      <protection hidden="1"/>
    </xf>
    <xf numFmtId="2" fontId="15" fillId="6" borderId="41" xfId="0" applyNumberFormat="1" applyFont="1" applyFill="1" applyBorder="1" applyAlignment="1" applyProtection="1">
      <alignment horizontal="center" vertical="center" wrapText="1"/>
      <protection hidden="1"/>
    </xf>
    <xf numFmtId="0" fontId="4" fillId="6" borderId="6" xfId="0" applyFont="1" applyFill="1" applyBorder="1" applyAlignment="1" applyProtection="1">
      <alignment horizontal="center" vertical="center" wrapText="1"/>
      <protection hidden="1"/>
    </xf>
    <xf numFmtId="0" fontId="4" fillId="6" borderId="8" xfId="0" applyFont="1" applyFill="1" applyBorder="1" applyAlignment="1" applyProtection="1">
      <alignment horizontal="center" vertical="center" wrapText="1"/>
      <protection hidden="1"/>
    </xf>
    <xf numFmtId="20" fontId="2" fillId="5" borderId="6" xfId="0" applyNumberFormat="1" applyFont="1" applyFill="1" applyBorder="1" applyAlignment="1" applyProtection="1">
      <alignment horizontal="center" vertical="center" wrapText="1"/>
      <protection locked="0" hidden="1"/>
    </xf>
    <xf numFmtId="20" fontId="2" fillId="5" borderId="8" xfId="0" applyNumberFormat="1" applyFont="1" applyFill="1" applyBorder="1" applyAlignment="1" applyProtection="1">
      <alignment horizontal="center" vertical="center" wrapText="1"/>
      <protection locked="0" hidden="1"/>
    </xf>
    <xf numFmtId="0" fontId="8" fillId="4" borderId="69" xfId="0" applyFont="1" applyFill="1" applyBorder="1" applyAlignment="1" applyProtection="1">
      <alignment horizontal="center" vertical="center" wrapText="1"/>
      <protection hidden="1"/>
    </xf>
    <xf numFmtId="0" fontId="8" fillId="4" borderId="48" xfId="0" applyFont="1" applyFill="1" applyBorder="1" applyAlignment="1" applyProtection="1">
      <alignment horizontal="center" vertical="center" wrapText="1"/>
      <protection hidden="1"/>
    </xf>
    <xf numFmtId="0" fontId="17" fillId="3" borderId="44" xfId="0" applyFont="1" applyFill="1" applyBorder="1" applyAlignment="1" applyProtection="1">
      <alignment horizontal="center" vertical="center" wrapText="1"/>
      <protection hidden="1"/>
    </xf>
    <xf numFmtId="0" fontId="17" fillId="3" borderId="5" xfId="0" applyFont="1" applyFill="1" applyBorder="1" applyAlignment="1" applyProtection="1">
      <alignment horizontal="center" vertical="center" wrapText="1"/>
      <protection hidden="1"/>
    </xf>
    <xf numFmtId="0" fontId="4" fillId="6" borderId="18" xfId="0" applyFont="1" applyFill="1" applyBorder="1" applyAlignment="1" applyProtection="1">
      <alignment horizontal="center" vertical="center" wrapText="1"/>
      <protection hidden="1"/>
    </xf>
    <xf numFmtId="0" fontId="4" fillId="6" borderId="26" xfId="0" applyFont="1" applyFill="1" applyBorder="1" applyAlignment="1" applyProtection="1">
      <alignment horizontal="center" vertical="center" wrapText="1"/>
      <protection hidden="1"/>
    </xf>
    <xf numFmtId="0" fontId="27" fillId="3" borderId="37" xfId="0" applyFont="1" applyFill="1" applyBorder="1" applyAlignment="1" applyProtection="1">
      <alignment horizontal="center" vertical="center" wrapText="1"/>
      <protection hidden="1"/>
    </xf>
    <xf numFmtId="0" fontId="27" fillId="3" borderId="38" xfId="0" applyFont="1" applyFill="1" applyBorder="1" applyAlignment="1" applyProtection="1">
      <alignment horizontal="center" vertical="center" wrapText="1"/>
      <protection hidden="1"/>
    </xf>
    <xf numFmtId="0" fontId="27" fillId="3" borderId="39" xfId="0" applyFont="1" applyFill="1" applyBorder="1" applyAlignment="1" applyProtection="1">
      <alignment horizontal="center" vertical="center" wrapText="1"/>
      <protection hidden="1"/>
    </xf>
    <xf numFmtId="0" fontId="27" fillId="3" borderId="40" xfId="0" applyFont="1" applyFill="1" applyBorder="1" applyAlignment="1" applyProtection="1">
      <alignment horizontal="center" vertical="center" wrapText="1"/>
      <protection hidden="1"/>
    </xf>
    <xf numFmtId="0" fontId="27" fillId="3" borderId="41" xfId="0" applyFont="1" applyFill="1" applyBorder="1" applyAlignment="1" applyProtection="1">
      <alignment horizontal="center" vertical="center" wrapText="1"/>
      <protection hidden="1"/>
    </xf>
    <xf numFmtId="0" fontId="27" fillId="3" borderId="35" xfId="0" applyFont="1" applyFill="1" applyBorder="1" applyAlignment="1" applyProtection="1">
      <alignment horizontal="center" vertical="center" wrapText="1"/>
      <protection hidden="1"/>
    </xf>
    <xf numFmtId="0" fontId="27" fillId="3" borderId="2" xfId="0" applyFont="1" applyFill="1" applyBorder="1" applyAlignment="1" applyProtection="1">
      <alignment horizontal="center" vertical="center" wrapText="1"/>
      <protection hidden="1"/>
    </xf>
    <xf numFmtId="0" fontId="27" fillId="3" borderId="3" xfId="0" applyFont="1" applyFill="1" applyBorder="1" applyAlignment="1" applyProtection="1">
      <alignment horizontal="center" vertical="center" wrapText="1"/>
      <protection hidden="1"/>
    </xf>
    <xf numFmtId="0" fontId="27" fillId="3" borderId="4" xfId="0" applyFont="1" applyFill="1" applyBorder="1" applyAlignment="1" applyProtection="1">
      <alignment horizontal="center" vertical="center" wrapText="1"/>
      <protection hidden="1"/>
    </xf>
    <xf numFmtId="0" fontId="27" fillId="3" borderId="44"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0" fontId="27" fillId="3" borderId="36"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3" fillId="0" borderId="6" xfId="0" applyFont="1" applyBorder="1" applyAlignment="1" applyProtection="1">
      <alignment horizontal="center" vertical="center" wrapText="1"/>
      <protection hidden="1"/>
    </xf>
    <xf numFmtId="0" fontId="23" fillId="0" borderId="7" xfId="0" applyFont="1" applyBorder="1" applyAlignment="1" applyProtection="1">
      <alignment horizontal="center" vertical="center" wrapText="1"/>
      <protection hidden="1"/>
    </xf>
    <xf numFmtId="0" fontId="23" fillId="0" borderId="8" xfId="0" applyFont="1" applyBorder="1" applyAlignment="1" applyProtection="1">
      <alignment horizontal="center" vertical="center" wrapText="1"/>
      <protection hidden="1"/>
    </xf>
    <xf numFmtId="169" fontId="15" fillId="6" borderId="21" xfId="0" applyNumberFormat="1" applyFont="1" applyFill="1" applyBorder="1" applyAlignment="1" applyProtection="1">
      <alignment horizontal="center" vertical="center" wrapText="1"/>
      <protection hidden="1"/>
    </xf>
    <xf numFmtId="14" fontId="15" fillId="6" borderId="21" xfId="0" applyNumberFormat="1" applyFont="1" applyFill="1" applyBorder="1" applyAlignment="1" applyProtection="1">
      <alignment horizontal="center" vertical="center" wrapText="1"/>
      <protection hidden="1"/>
    </xf>
    <xf numFmtId="169" fontId="15" fillId="5" borderId="26" xfId="0" applyNumberFormat="1" applyFont="1" applyFill="1" applyBorder="1" applyAlignment="1" applyProtection="1">
      <alignment horizontal="center" vertical="center" wrapText="1"/>
      <protection hidden="1"/>
    </xf>
    <xf numFmtId="169" fontId="15" fillId="5" borderId="20" xfId="0" applyNumberFormat="1" applyFont="1" applyFill="1" applyBorder="1" applyAlignment="1" applyProtection="1">
      <alignment horizontal="center" vertical="center" wrapText="1"/>
      <protection hidden="1"/>
    </xf>
    <xf numFmtId="14" fontId="15" fillId="6" borderId="19" xfId="0" applyNumberFormat="1" applyFont="1" applyFill="1" applyBorder="1" applyAlignment="1" applyProtection="1">
      <alignment horizontal="center" vertical="center" wrapText="1"/>
      <protection hidden="1"/>
    </xf>
    <xf numFmtId="0" fontId="40" fillId="0" borderId="18" xfId="0" applyFont="1" applyBorder="1" applyAlignment="1">
      <alignment horizontal="center"/>
    </xf>
    <xf numFmtId="0" fontId="40" fillId="0" borderId="21" xfId="0" applyFont="1" applyBorder="1" applyAlignment="1">
      <alignment horizontal="center"/>
    </xf>
    <xf numFmtId="0" fontId="40" fillId="0" borderId="19" xfId="0" applyFont="1" applyBorder="1" applyAlignment="1">
      <alignment horizont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169" fontId="55" fillId="4" borderId="7" xfId="0" applyNumberFormat="1" applyFont="1" applyFill="1" applyBorder="1" applyAlignment="1">
      <alignment horizontal="center" vertical="center"/>
    </xf>
    <xf numFmtId="169" fontId="55" fillId="4" borderId="8" xfId="0" applyNumberFormat="1" applyFont="1" applyFill="1" applyBorder="1" applyAlignment="1">
      <alignment horizontal="center" vertical="center"/>
    </xf>
    <xf numFmtId="0" fontId="12" fillId="4" borderId="37" xfId="0" applyFont="1" applyFill="1" applyBorder="1" applyAlignment="1" applyProtection="1">
      <alignment horizontal="center" vertical="center" wrapText="1"/>
      <protection hidden="1"/>
    </xf>
    <xf numFmtId="0" fontId="12" fillId="4" borderId="38" xfId="0" applyFont="1" applyFill="1" applyBorder="1" applyAlignment="1" applyProtection="1">
      <alignment horizontal="center" vertical="center" wrapText="1"/>
      <protection hidden="1"/>
    </xf>
    <xf numFmtId="0" fontId="12" fillId="4" borderId="39" xfId="0" applyFont="1" applyFill="1" applyBorder="1" applyAlignment="1" applyProtection="1">
      <alignment horizontal="center" vertical="center" wrapText="1"/>
      <protection hidden="1"/>
    </xf>
    <xf numFmtId="0" fontId="12" fillId="4" borderId="30" xfId="0" applyFont="1" applyFill="1" applyBorder="1" applyAlignment="1" applyProtection="1">
      <alignment horizontal="center" vertical="center" wrapText="1"/>
      <protection hidden="1"/>
    </xf>
    <xf numFmtId="0" fontId="12" fillId="4" borderId="9" xfId="0" applyFont="1" applyFill="1" applyBorder="1" applyAlignment="1" applyProtection="1">
      <alignment horizontal="center" vertical="center" wrapText="1"/>
      <protection hidden="1"/>
    </xf>
    <xf numFmtId="0" fontId="12" fillId="4" borderId="32" xfId="0" applyFont="1" applyFill="1" applyBorder="1" applyAlignment="1" applyProtection="1">
      <alignment horizontal="center" vertical="center" wrapText="1"/>
      <protection hidden="1"/>
    </xf>
    <xf numFmtId="0" fontId="31" fillId="0" borderId="0" xfId="0" applyFont="1" applyAlignment="1" applyProtection="1">
      <alignment horizontal="justify" vertical="center" wrapText="1"/>
      <protection hidden="1"/>
    </xf>
    <xf numFmtId="0" fontId="30" fillId="2" borderId="0" xfId="0" applyFont="1" applyFill="1" applyAlignment="1" applyProtection="1">
      <alignment horizontal="left" vertical="center" wrapText="1"/>
      <protection hidden="1"/>
    </xf>
    <xf numFmtId="0" fontId="30" fillId="0" borderId="0" xfId="0" applyFont="1" applyAlignment="1" applyProtection="1">
      <alignment horizontal="right" vertical="center" wrapText="1"/>
      <protection hidden="1"/>
    </xf>
    <xf numFmtId="169" fontId="30" fillId="0" borderId="0" xfId="0" applyNumberFormat="1" applyFont="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31" fillId="0" borderId="0" xfId="0" applyFont="1" applyAlignment="1" applyProtection="1">
      <alignment horizontal="left" vertical="center" wrapText="1"/>
      <protection locked="0" hidden="1"/>
    </xf>
    <xf numFmtId="49" fontId="30" fillId="0" borderId="0" xfId="0" applyNumberFormat="1" applyFont="1" applyAlignment="1" applyProtection="1">
      <alignment horizontal="left" vertical="center" wrapText="1"/>
      <protection hidden="1"/>
    </xf>
    <xf numFmtId="1" fontId="30" fillId="0" borderId="0" xfId="0" applyNumberFormat="1" applyFont="1" applyAlignment="1" applyProtection="1">
      <alignment horizontal="left" vertical="center" wrapText="1"/>
      <protection hidden="1"/>
    </xf>
    <xf numFmtId="0" fontId="12" fillId="0" borderId="0" xfId="0" applyFont="1" applyAlignment="1" applyProtection="1">
      <alignment horizontal="left" vertical="center"/>
      <protection hidden="1"/>
    </xf>
    <xf numFmtId="0" fontId="43" fillId="0" borderId="0" xfId="0" applyFont="1" applyAlignment="1" applyProtection="1">
      <alignment horizontal="center" vertical="center"/>
      <protection hidden="1"/>
    </xf>
    <xf numFmtId="0" fontId="30" fillId="0" borderId="0" xfId="0" applyFont="1" applyAlignment="1" applyProtection="1">
      <alignment horizontal="justify" vertical="center" wrapText="1"/>
      <protection hidden="1"/>
    </xf>
    <xf numFmtId="0" fontId="31" fillId="0" borderId="0" xfId="0" applyFont="1" applyAlignment="1" applyProtection="1">
      <alignment horizontal="justify" vertical="center" wrapText="1"/>
      <protection locked="0" hidden="1"/>
    </xf>
    <xf numFmtId="1" fontId="12" fillId="0" borderId="0" xfId="0" applyNumberFormat="1" applyFont="1" applyAlignment="1" applyProtection="1">
      <alignment horizontal="right" vertical="center" wrapText="1"/>
      <protection hidden="1"/>
    </xf>
    <xf numFmtId="0" fontId="41" fillId="0" borderId="0" xfId="0" applyFont="1" applyAlignment="1" applyProtection="1">
      <alignment horizontal="center"/>
      <protection hidden="1"/>
    </xf>
    <xf numFmtId="0" fontId="12" fillId="0" borderId="0" xfId="0" applyFont="1" applyAlignment="1" applyProtection="1">
      <alignment horizontal="right" vertical="center" wrapText="1"/>
      <protection hidden="1"/>
    </xf>
    <xf numFmtId="1" fontId="12" fillId="0" borderId="0" xfId="0" applyNumberFormat="1" applyFont="1" applyAlignment="1" applyProtection="1">
      <alignment horizontal="left" vertical="center" wrapText="1"/>
      <protection hidden="1"/>
    </xf>
    <xf numFmtId="14" fontId="74" fillId="0" borderId="0" xfId="0" applyNumberFormat="1" applyFont="1" applyAlignment="1" applyProtection="1">
      <alignment horizontal="left" vertical="center" wrapText="1"/>
      <protection hidden="1"/>
    </xf>
    <xf numFmtId="0" fontId="74" fillId="0" borderId="0" xfId="0" applyFont="1" applyAlignment="1" applyProtection="1">
      <alignment horizontal="left" vertical="center" wrapText="1"/>
      <protection hidden="1"/>
    </xf>
    <xf numFmtId="14" fontId="31" fillId="0" borderId="0" xfId="0" applyNumberFormat="1" applyFont="1" applyAlignment="1" applyProtection="1">
      <alignment horizontal="left" vertical="center" wrapText="1"/>
      <protection hidden="1"/>
    </xf>
    <xf numFmtId="14" fontId="30" fillId="0" borderId="0" xfId="0" applyNumberFormat="1" applyFont="1" applyAlignment="1" applyProtection="1">
      <alignment horizontal="left" vertical="center" wrapText="1"/>
      <protection hidden="1"/>
    </xf>
    <xf numFmtId="0" fontId="14" fillId="0" borderId="2" xfId="0" applyFont="1" applyBorder="1" applyAlignment="1" applyProtection="1">
      <alignment horizontal="center" vertical="center" wrapText="1"/>
      <protection hidden="1"/>
    </xf>
    <xf numFmtId="0" fontId="14" fillId="0" borderId="3"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wrapText="1"/>
      <protection hidden="1"/>
    </xf>
    <xf numFmtId="172" fontId="30" fillId="0" borderId="0" xfId="0" applyNumberFormat="1" applyFont="1" applyAlignment="1" applyProtection="1">
      <alignment horizontal="center" vertical="center" wrapText="1"/>
      <protection hidden="1"/>
    </xf>
    <xf numFmtId="0" fontId="45" fillId="0" borderId="30" xfId="0" applyFont="1" applyBorder="1" applyAlignment="1" applyProtection="1">
      <alignment horizontal="center" vertical="center" wrapText="1"/>
      <protection hidden="1"/>
    </xf>
    <xf numFmtId="0" fontId="45" fillId="0" borderId="9" xfId="0" applyFont="1" applyBorder="1" applyAlignment="1" applyProtection="1">
      <alignment horizontal="center" vertical="center" wrapText="1"/>
      <protection hidden="1"/>
    </xf>
    <xf numFmtId="14" fontId="20" fillId="0" borderId="9" xfId="0" applyNumberFormat="1" applyFont="1" applyBorder="1" applyAlignment="1" applyProtection="1">
      <alignment horizontal="center" vertical="center" wrapText="1"/>
      <protection hidden="1"/>
    </xf>
    <xf numFmtId="0" fontId="20" fillId="0" borderId="9"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45" fillId="2" borderId="40" xfId="0" applyFont="1" applyFill="1" applyBorder="1" applyAlignment="1" applyProtection="1">
      <alignment horizontal="center" vertical="center" wrapText="1"/>
      <protection hidden="1"/>
    </xf>
    <xf numFmtId="0" fontId="45" fillId="2" borderId="41" xfId="0" applyFont="1" applyFill="1" applyBorder="1" applyAlignment="1" applyProtection="1">
      <alignment horizontal="center" vertical="center" wrapText="1"/>
      <protection hidden="1"/>
    </xf>
    <xf numFmtId="0" fontId="20" fillId="2" borderId="41" xfId="0" applyFont="1" applyFill="1" applyBorder="1" applyAlignment="1" applyProtection="1">
      <alignment horizontal="center" vertical="center" wrapText="1"/>
      <protection hidden="1"/>
    </xf>
    <xf numFmtId="14" fontId="20" fillId="2" borderId="41" xfId="0" applyNumberFormat="1" applyFont="1" applyFill="1" applyBorder="1" applyAlignment="1" applyProtection="1">
      <alignment horizontal="center" vertical="center" wrapText="1"/>
      <protection hidden="1"/>
    </xf>
    <xf numFmtId="14" fontId="45" fillId="2" borderId="41" xfId="0" applyNumberFormat="1" applyFont="1" applyFill="1" applyBorder="1" applyAlignment="1" applyProtection="1">
      <alignment horizontal="center" vertical="center" wrapText="1"/>
      <protection hidden="1"/>
    </xf>
    <xf numFmtId="0" fontId="45" fillId="2" borderId="35" xfId="0" applyFont="1" applyFill="1" applyBorder="1" applyAlignment="1" applyProtection="1">
      <alignment horizontal="center" vertical="center" wrapText="1"/>
      <protection hidden="1"/>
    </xf>
    <xf numFmtId="0" fontId="45" fillId="0" borderId="37" xfId="0" applyFont="1" applyBorder="1" applyAlignment="1" applyProtection="1">
      <alignment horizontal="center" vertical="center" wrapText="1"/>
      <protection hidden="1"/>
    </xf>
    <xf numFmtId="0" fontId="45" fillId="0" borderId="38" xfId="0" applyFont="1"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14" fontId="20" fillId="0" borderId="38" xfId="0" applyNumberFormat="1" applyFont="1" applyBorder="1" applyAlignment="1" applyProtection="1">
      <alignment horizontal="center" vertical="center" wrapText="1"/>
      <protection hidden="1"/>
    </xf>
    <xf numFmtId="0" fontId="20" fillId="0" borderId="39" xfId="0" applyFont="1" applyBorder="1" applyAlignment="1" applyProtection="1">
      <alignment horizontal="center" vertical="center" wrapText="1"/>
      <protection hidden="1"/>
    </xf>
    <xf numFmtId="165" fontId="20" fillId="0" borderId="6" xfId="0" applyNumberFormat="1" applyFont="1" applyBorder="1" applyAlignment="1" applyProtection="1">
      <alignment horizontal="center" vertical="center" wrapText="1"/>
      <protection hidden="1"/>
    </xf>
    <xf numFmtId="165" fontId="20" fillId="0" borderId="8" xfId="0" applyNumberFormat="1" applyFont="1" applyBorder="1" applyAlignment="1" applyProtection="1">
      <alignment horizontal="center" vertical="center" wrapText="1"/>
      <protection hidden="1"/>
    </xf>
    <xf numFmtId="166" fontId="20" fillId="0" borderId="8" xfId="0" applyNumberFormat="1" applyFont="1" applyBorder="1" applyAlignment="1" applyProtection="1">
      <alignment horizontal="center" vertical="center" wrapText="1"/>
      <protection hidden="1"/>
    </xf>
    <xf numFmtId="166" fontId="20" fillId="0" borderId="1" xfId="0" applyNumberFormat="1" applyFont="1" applyBorder="1" applyAlignment="1" applyProtection="1">
      <alignment horizontal="center" vertical="center" wrapText="1"/>
      <protection hidden="1"/>
    </xf>
    <xf numFmtId="0" fontId="30" fillId="2" borderId="0" xfId="0" applyFont="1" applyFill="1" applyAlignment="1" applyProtection="1">
      <alignment horizontal="justify" vertical="center" wrapText="1"/>
      <protection hidden="1"/>
    </xf>
    <xf numFmtId="167" fontId="12" fillId="2" borderId="0" xfId="0" applyNumberFormat="1" applyFont="1" applyFill="1" applyAlignment="1" applyProtection="1">
      <alignment horizontal="right" vertical="center" wrapText="1"/>
      <protection hidden="1"/>
    </xf>
    <xf numFmtId="0" fontId="20" fillId="0" borderId="5" xfId="0" applyFont="1" applyBorder="1" applyAlignment="1" applyProtection="1">
      <alignment horizontal="left" vertical="center" wrapText="1"/>
      <protection hidden="1"/>
    </xf>
    <xf numFmtId="0" fontId="14" fillId="0" borderId="6"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hidden="1"/>
    </xf>
    <xf numFmtId="0" fontId="14" fillId="0" borderId="7" xfId="0" applyFont="1" applyBorder="1" applyAlignment="1" applyProtection="1">
      <alignment horizontal="center" vertical="center" wrapText="1"/>
      <protection hidden="1"/>
    </xf>
    <xf numFmtId="189" fontId="20" fillId="0" borderId="2" xfId="0" applyNumberFormat="1" applyFont="1" applyBorder="1" applyAlignment="1" applyProtection="1">
      <alignment horizontal="center" vertical="center" wrapText="1"/>
      <protection hidden="1"/>
    </xf>
    <xf numFmtId="189" fontId="20" fillId="0" borderId="4" xfId="0" applyNumberFormat="1" applyFont="1" applyBorder="1" applyAlignment="1" applyProtection="1">
      <alignment horizontal="center" vertical="center" wrapText="1"/>
      <protection hidden="1"/>
    </xf>
    <xf numFmtId="189" fontId="20" fillId="0" borderId="10" xfId="0" applyNumberFormat="1" applyFont="1" applyBorder="1" applyAlignment="1" applyProtection="1">
      <alignment horizontal="center" vertical="center" wrapText="1"/>
      <protection hidden="1"/>
    </xf>
    <xf numFmtId="189" fontId="20" fillId="0" borderId="46" xfId="0" applyNumberFormat="1" applyFont="1" applyBorder="1" applyAlignment="1" applyProtection="1">
      <alignment horizontal="center" vertical="center" wrapText="1"/>
      <protection hidden="1"/>
    </xf>
    <xf numFmtId="189" fontId="20" fillId="0" borderId="44" xfId="0" applyNumberFormat="1" applyFont="1" applyBorder="1" applyAlignment="1" applyProtection="1">
      <alignment horizontal="center" vertical="center" wrapText="1"/>
      <protection hidden="1"/>
    </xf>
    <xf numFmtId="189" fontId="20" fillId="0" borderId="36" xfId="0" applyNumberFormat="1" applyFont="1" applyBorder="1" applyAlignment="1" applyProtection="1">
      <alignment horizontal="center" vertical="center" wrapText="1"/>
      <protection hidden="1"/>
    </xf>
    <xf numFmtId="191" fontId="20" fillId="0" borderId="3" xfId="0" applyNumberFormat="1" applyFont="1" applyBorder="1" applyAlignment="1" applyProtection="1">
      <alignment horizontal="center" vertical="center" wrapText="1"/>
      <protection hidden="1"/>
    </xf>
    <xf numFmtId="0" fontId="78" fillId="0" borderId="68" xfId="0" applyFont="1" applyBorder="1" applyAlignment="1" applyProtection="1">
      <alignment horizontal="center" vertical="center" wrapText="1"/>
      <protection hidden="1"/>
    </xf>
    <xf numFmtId="0" fontId="78" fillId="0" borderId="67" xfId="0" applyFont="1" applyBorder="1" applyAlignment="1" applyProtection="1">
      <alignment horizontal="center" vertical="center" wrapText="1"/>
      <protection hidden="1"/>
    </xf>
    <xf numFmtId="0" fontId="78" fillId="0" borderId="47" xfId="0" applyFont="1" applyBorder="1" applyAlignment="1" applyProtection="1">
      <alignment horizontal="center" vertical="center" wrapText="1"/>
      <protection hidden="1"/>
    </xf>
    <xf numFmtId="190" fontId="20" fillId="0" borderId="3" xfId="0" applyNumberFormat="1" applyFont="1" applyBorder="1" applyAlignment="1" applyProtection="1">
      <alignment horizontal="center" vertical="center" wrapText="1"/>
      <protection hidden="1"/>
    </xf>
    <xf numFmtId="165" fontId="20" fillId="0" borderId="1" xfId="0" applyNumberFormat="1" applyFont="1" applyBorder="1" applyAlignment="1" applyProtection="1">
      <alignment horizontal="center" vertical="center" wrapText="1"/>
      <protection hidden="1"/>
    </xf>
    <xf numFmtId="1" fontId="12" fillId="2" borderId="0" xfId="0" applyNumberFormat="1" applyFont="1" applyFill="1" applyAlignment="1" applyProtection="1">
      <alignment horizontal="center" vertical="center" wrapText="1"/>
      <protection hidden="1"/>
    </xf>
    <xf numFmtId="0" fontId="12" fillId="0" borderId="0" xfId="0" applyFont="1" applyAlignment="1" applyProtection="1">
      <alignment horizontal="center"/>
      <protection hidden="1"/>
    </xf>
    <xf numFmtId="0" fontId="12" fillId="2" borderId="55"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wrapText="1"/>
      <protection hidden="1"/>
    </xf>
    <xf numFmtId="0" fontId="12" fillId="2" borderId="53" xfId="0" applyFont="1" applyFill="1" applyBorder="1" applyAlignment="1" applyProtection="1">
      <alignment horizontal="center" vertical="center" wrapText="1"/>
      <protection hidden="1"/>
    </xf>
    <xf numFmtId="0" fontId="32" fillId="2" borderId="0" xfId="0" applyFont="1" applyFill="1" applyAlignment="1" applyProtection="1">
      <alignment horizontal="center" wrapText="1"/>
      <protection hidden="1"/>
    </xf>
    <xf numFmtId="0" fontId="78" fillId="0" borderId="68" xfId="0" applyFont="1" applyBorder="1" applyAlignment="1" applyProtection="1">
      <alignment horizontal="center" vertical="center"/>
      <protection hidden="1"/>
    </xf>
    <xf numFmtId="0" fontId="78" fillId="0" borderId="67" xfId="0" applyFont="1" applyBorder="1" applyAlignment="1" applyProtection="1">
      <alignment horizontal="center" vertical="center"/>
      <protection hidden="1"/>
    </xf>
    <xf numFmtId="0" fontId="78" fillId="0" borderId="47" xfId="0" applyFont="1" applyBorder="1" applyAlignment="1" applyProtection="1">
      <alignment horizontal="center" vertical="center"/>
      <protection hidden="1"/>
    </xf>
    <xf numFmtId="0" fontId="30" fillId="0" borderId="77" xfId="0" applyFont="1" applyBorder="1" applyAlignment="1" applyProtection="1">
      <alignment horizontal="center" vertical="center" wrapText="1"/>
      <protection hidden="1"/>
    </xf>
    <xf numFmtId="0" fontId="30" fillId="0" borderId="13" xfId="0" applyFont="1" applyBorder="1" applyAlignment="1" applyProtection="1">
      <alignment horizontal="center"/>
      <protection hidden="1"/>
    </xf>
    <xf numFmtId="14" fontId="83" fillId="0" borderId="0" xfId="0" applyNumberFormat="1" applyFont="1" applyAlignment="1" applyProtection="1">
      <alignment horizontal="left" vertical="center" wrapText="1"/>
      <protection hidden="1"/>
    </xf>
    <xf numFmtId="0" fontId="83" fillId="0" borderId="0" xfId="0" applyFont="1" applyAlignment="1" applyProtection="1">
      <alignment horizontal="left" vertical="center" wrapText="1"/>
      <protection hidden="1"/>
    </xf>
    <xf numFmtId="0" fontId="30" fillId="0" borderId="6" xfId="0" applyFont="1" applyBorder="1" applyAlignment="1" applyProtection="1">
      <alignment horizontal="center" vertical="center" wrapText="1"/>
      <protection hidden="1"/>
    </xf>
    <xf numFmtId="0" fontId="30" fillId="0" borderId="8" xfId="0" applyFont="1" applyBorder="1" applyAlignment="1" applyProtection="1">
      <alignment horizontal="center" vertical="center" wrapText="1"/>
      <protection hidden="1"/>
    </xf>
    <xf numFmtId="0" fontId="20" fillId="0" borderId="6" xfId="0" applyFont="1" applyBorder="1" applyAlignment="1" applyProtection="1">
      <alignment horizontal="center" vertical="center" wrapText="1"/>
      <protection hidden="1"/>
    </xf>
    <xf numFmtId="0" fontId="20" fillId="0" borderId="8" xfId="0" applyFont="1" applyBorder="1" applyAlignment="1" applyProtection="1">
      <alignment horizontal="center" vertical="center" wrapText="1"/>
      <protection hidden="1"/>
    </xf>
    <xf numFmtId="0" fontId="20" fillId="0" borderId="7" xfId="0" applyFont="1" applyBorder="1" applyAlignment="1" applyProtection="1">
      <alignment horizontal="center" vertical="center" wrapText="1"/>
      <protection hidden="1"/>
    </xf>
    <xf numFmtId="0" fontId="31" fillId="2" borderId="0" xfId="0" applyFont="1" applyFill="1" applyAlignment="1" applyProtection="1">
      <alignment horizontal="justify" vertical="center" wrapText="1"/>
      <protection hidden="1"/>
    </xf>
    <xf numFmtId="167" fontId="30" fillId="2" borderId="0" xfId="0" applyNumberFormat="1" applyFont="1" applyFill="1" applyAlignment="1" applyProtection="1">
      <alignment horizontal="right" vertical="center" wrapText="1"/>
      <protection hidden="1"/>
    </xf>
    <xf numFmtId="1" fontId="30" fillId="2" borderId="0" xfId="0" applyNumberFormat="1" applyFont="1" applyFill="1" applyAlignment="1" applyProtection="1">
      <alignment horizontal="left" vertical="center" wrapText="1"/>
      <protection hidden="1"/>
    </xf>
    <xf numFmtId="0" fontId="80" fillId="2" borderId="0" xfId="0" applyFont="1" applyFill="1" applyAlignment="1" applyProtection="1">
      <alignment horizontal="center" wrapText="1"/>
      <protection hidden="1"/>
    </xf>
    <xf numFmtId="0" fontId="30" fillId="2" borderId="55" xfId="0" applyFont="1" applyFill="1" applyBorder="1" applyAlignment="1" applyProtection="1">
      <alignment horizontal="center" vertical="center" wrapText="1"/>
      <protection hidden="1"/>
    </xf>
    <xf numFmtId="0" fontId="30" fillId="2" borderId="33" xfId="0" applyFont="1" applyFill="1" applyBorder="1" applyAlignment="1" applyProtection="1">
      <alignment horizontal="center" vertical="center" wrapText="1"/>
      <protection hidden="1"/>
    </xf>
    <xf numFmtId="0" fontId="30" fillId="2" borderId="53" xfId="0" applyFont="1" applyFill="1" applyBorder="1" applyAlignment="1" applyProtection="1">
      <alignment horizontal="center" vertical="center" wrapText="1"/>
      <protection hidden="1"/>
    </xf>
  </cellXfs>
  <cellStyles count="13">
    <cellStyle name="Buena" xfId="1" builtinId="26"/>
    <cellStyle name="Buena 2" xfId="8"/>
    <cellStyle name="Estilo 1" xfId="2"/>
    <cellStyle name="Estilo 1 2" xfId="9"/>
    <cellStyle name="Estilo 2" xfId="3"/>
    <cellStyle name="Estilo 2 2" xfId="10"/>
    <cellStyle name="Estilo 3" xfId="4"/>
    <cellStyle name="Estilo 4" xfId="5"/>
    <cellStyle name="Estilo 5" xfId="6"/>
    <cellStyle name="Estilo 6" xfId="7"/>
    <cellStyle name="Normal" xfId="0" builtinId="0"/>
    <cellStyle name="Normal_Hoja4" xfId="12"/>
    <cellStyle name="Porcentaje" xfId="11" builtinId="5"/>
  </cellStyles>
  <dxfs count="22">
    <dxf>
      <font>
        <b/>
        <i val="0"/>
        <color auto="1"/>
      </font>
      <fill>
        <patternFill>
          <bgColor rgb="FFFFC7CE"/>
        </patternFill>
      </fill>
    </dxf>
    <dxf>
      <font>
        <b/>
        <i val="0"/>
      </font>
    </dxf>
    <dxf>
      <font>
        <b/>
        <i val="0"/>
        <color auto="1"/>
      </font>
      <fill>
        <patternFill>
          <bgColor rgb="FFFFC7CE"/>
        </patternFill>
      </fill>
    </dxf>
    <dxf>
      <font>
        <b/>
        <i val="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92D05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tableStyles>
  <colors>
    <mruColors>
      <color rgb="FFFCE4D6"/>
      <color rgb="FF073763"/>
      <color rgb="FF9BC2E6"/>
      <color rgb="FFDDEBF7"/>
      <color rgb="FF438AD8"/>
      <color rgb="FFAFDF9F"/>
      <color rgb="FFFF9999"/>
      <color rgb="FFF4B084"/>
      <color rgb="FF0070C0"/>
      <color rgb="FF81B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¬'!$A$68</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¬'!$F$68:$F$70</c:f>
              <c:numCache>
                <c:formatCode>General</c:formatCode>
                <c:ptCount val="3"/>
                <c:pt idx="0">
                  <c:v>17.100000000000001</c:v>
                </c:pt>
                <c:pt idx="1">
                  <c:v>20.100000000000001</c:v>
                </c:pt>
                <c:pt idx="2" formatCode="0.0">
                  <c:v>23.1</c:v>
                </c:pt>
              </c:numCache>
            </c:numRef>
          </c:xVal>
          <c:yVal>
            <c:numRef>
              <c:f>'DATOS ¬'!$H$68:$H$70</c:f>
              <c:numCache>
                <c:formatCode>0.0</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336250720"/>
        <c:axId val="336254248"/>
      </c:scatterChart>
      <c:valAx>
        <c:axId val="3362507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6254248"/>
        <c:crosses val="autoZero"/>
        <c:crossBetween val="midCat"/>
      </c:valAx>
      <c:valAx>
        <c:axId val="3362542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62507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¬'!$F$101:$F$103</c:f>
              <c:numCache>
                <c:formatCode>General</c:formatCode>
                <c:ptCount val="3"/>
                <c:pt idx="0" formatCode="0.0">
                  <c:v>14.9</c:v>
                </c:pt>
                <c:pt idx="1">
                  <c:v>25</c:v>
                </c:pt>
                <c:pt idx="2">
                  <c:v>34.9</c:v>
                </c:pt>
              </c:numCache>
            </c:numRef>
          </c:xVal>
          <c:yVal>
            <c:numRef>
              <c:f>'DATOS ¬'!$H$101:$H$103</c:f>
              <c:numCache>
                <c:formatCode>0.0</c:formatCode>
                <c:ptCount val="3"/>
                <c:pt idx="0" formatCode="General">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409499496"/>
        <c:axId val="409501064"/>
      </c:scatterChart>
      <c:valAx>
        <c:axId val="4094994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9501064"/>
        <c:crosses val="autoZero"/>
        <c:crossBetween val="midCat"/>
      </c:valAx>
      <c:valAx>
        <c:axId val="4095010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94994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¬'!$F$104:$F$106</c:f>
              <c:numCache>
                <c:formatCode>General</c:formatCode>
                <c:ptCount val="3"/>
                <c:pt idx="0">
                  <c:v>32.9</c:v>
                </c:pt>
                <c:pt idx="1">
                  <c:v>55.6</c:v>
                </c:pt>
                <c:pt idx="2" formatCode="0.0">
                  <c:v>79</c:v>
                </c:pt>
              </c:numCache>
            </c:numRef>
          </c:xVal>
          <c:yVal>
            <c:numRef>
              <c:f>'DATOS ¬'!$H$104:$H$106</c:f>
              <c:numCache>
                <c:formatCode>General</c:formatCode>
                <c:ptCount val="3"/>
                <c:pt idx="0">
                  <c:v>-2.9</c:v>
                </c:pt>
                <c:pt idx="1">
                  <c:v>-0.6</c:v>
                </c:pt>
                <c:pt idx="2">
                  <c:v>1.9</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412266008"/>
        <c:axId val="412265224"/>
      </c:scatterChart>
      <c:valAx>
        <c:axId val="4122660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2265224"/>
        <c:crosses val="autoZero"/>
        <c:crossBetween val="midCat"/>
      </c:valAx>
      <c:valAx>
        <c:axId val="4122652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22660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strRef>
              <c:f>'DATOS ¬'!$F$107:$F$109</c:f>
              <c:strCache>
                <c:ptCount val="3"/>
                <c:pt idx="0">
                  <c:v>499,801</c:v>
                </c:pt>
                <c:pt idx="1">
                  <c:v>752,296</c:v>
                </c:pt>
                <c:pt idx="2">
                  <c:v>1 099,608</c:v>
                </c:pt>
              </c:strCache>
            </c:strRef>
          </c:xVal>
          <c:yVal>
            <c:numRef>
              <c:f>'DATOS ¬'!$H$107:$H$109</c:f>
              <c:numCache>
                <c:formatCode>#,##0.000</c:formatCode>
                <c:ptCount val="3"/>
                <c:pt idx="0">
                  <c:v>1.742</c:v>
                </c:pt>
                <c:pt idx="1">
                  <c:v>1.2150000000000001</c:v>
                </c:pt>
                <c:pt idx="2">
                  <c:v>1.1379999999999999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412264048"/>
        <c:axId val="412263656"/>
      </c:scatterChart>
      <c:valAx>
        <c:axId val="4122640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2263656"/>
        <c:crosses val="autoZero"/>
        <c:crossBetween val="midCat"/>
      </c:valAx>
      <c:valAx>
        <c:axId val="4122636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22640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¬'!$F$112:$F$114</c:f>
              <c:numCache>
                <c:formatCode>0.0</c:formatCode>
                <c:ptCount val="3"/>
                <c:pt idx="0" formatCode="General">
                  <c:v>14.9</c:v>
                </c:pt>
                <c:pt idx="1">
                  <c:v>24.9</c:v>
                </c:pt>
                <c:pt idx="2">
                  <c:v>34.9</c:v>
                </c:pt>
              </c:numCache>
            </c:numRef>
          </c:xVal>
          <c:yVal>
            <c:numRef>
              <c:f>'DATOS ¬'!$H$112:$H$114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412262480"/>
        <c:axId val="412264440"/>
      </c:scatterChart>
      <c:valAx>
        <c:axId val="4122624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2264440"/>
        <c:crosses val="autoZero"/>
        <c:crossBetween val="midCat"/>
      </c:valAx>
      <c:valAx>
        <c:axId val="412264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22624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¬'!$F$115:$F$117</c:f>
              <c:numCache>
                <c:formatCode>General</c:formatCode>
                <c:ptCount val="3"/>
                <c:pt idx="0">
                  <c:v>33.299999999999997</c:v>
                </c:pt>
                <c:pt idx="1">
                  <c:v>56.1</c:v>
                </c:pt>
                <c:pt idx="2" formatCode="0.0">
                  <c:v>82.1</c:v>
                </c:pt>
              </c:numCache>
            </c:numRef>
          </c:xVal>
          <c:yVal>
            <c:numRef>
              <c:f>'DATOS ¬'!$H$115:$H$117</c:f>
              <c:numCache>
                <c:formatCode>General</c:formatCode>
                <c:ptCount val="3"/>
                <c:pt idx="0">
                  <c:v>-3.3</c:v>
                </c:pt>
                <c:pt idx="1">
                  <c:v>-1.1000000000000001</c:v>
                </c:pt>
                <c:pt idx="2">
                  <c:v>-1.2</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412265616"/>
        <c:axId val="413529688"/>
      </c:scatterChart>
      <c:valAx>
        <c:axId val="4122656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3529688"/>
        <c:crosses val="autoZero"/>
        <c:crossBetween val="midCat"/>
      </c:valAx>
      <c:valAx>
        <c:axId val="4135296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22656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¬'!$F$118:$F$120</c:f>
              <c:numCache>
                <c:formatCode>General</c:formatCode>
                <c:ptCount val="3"/>
                <c:pt idx="0" formatCode="0.000">
                  <c:v>399.84</c:v>
                </c:pt>
                <c:pt idx="1">
                  <c:v>752.29499999999996</c:v>
                </c:pt>
                <c:pt idx="2" formatCode="0.000">
                  <c:v>999.72299999999996</c:v>
                </c:pt>
              </c:numCache>
            </c:numRef>
          </c:xVal>
          <c:yVal>
            <c:numRef>
              <c:f>'DATOS ¬'!$H$118:$H$120</c:f>
              <c:numCache>
                <c:formatCode>0.000</c:formatCode>
                <c:ptCount val="3"/>
                <c:pt idx="0" formatCode="General">
                  <c:v>1.6759999999999999</c:v>
                </c:pt>
                <c:pt idx="1">
                  <c:v>0.81399999999999995</c:v>
                </c:pt>
                <c:pt idx="2" formatCode="General">
                  <c:v>0.54900000000000004</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413528904"/>
        <c:axId val="413525376"/>
      </c:scatterChart>
      <c:valAx>
        <c:axId val="4135289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3525376"/>
        <c:crosses val="autoZero"/>
        <c:crossBetween val="midCat"/>
      </c:valAx>
      <c:valAx>
        <c:axId val="4135253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35289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V-009</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¬'!$B$44</c:f>
              <c:strCache>
                <c:ptCount val="1"/>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2429777179719217"/>
                  <c:y val="0.10302318184122161"/>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¬'!$F$44:$F$48</c:f>
              <c:numCache>
                <c:formatCode>0.00</c:formatCode>
                <c:ptCount val="5"/>
                <c:pt idx="0">
                  <c:v>13.94</c:v>
                </c:pt>
                <c:pt idx="1">
                  <c:v>15.94</c:v>
                </c:pt>
                <c:pt idx="2">
                  <c:v>16.98</c:v>
                </c:pt>
                <c:pt idx="3">
                  <c:v>17.98</c:v>
                </c:pt>
                <c:pt idx="4">
                  <c:v>21.99</c:v>
                </c:pt>
              </c:numCache>
            </c:numRef>
          </c:xVal>
          <c:yVal>
            <c:numRef>
              <c:f>'DATOS ¬'!$H$44:$H$48</c:f>
              <c:numCache>
                <c:formatCode>General</c:formatCode>
                <c:ptCount val="5"/>
                <c:pt idx="0">
                  <c:v>0.03</c:v>
                </c:pt>
                <c:pt idx="1">
                  <c:v>0.02</c:v>
                </c:pt>
                <c:pt idx="2">
                  <c:v>0.02</c:v>
                </c:pt>
                <c:pt idx="3">
                  <c:v>0.01</c:v>
                </c:pt>
                <c:pt idx="4">
                  <c:v>0.01</c:v>
                </c:pt>
              </c:numCache>
            </c:numRef>
          </c:yVal>
          <c:smooth val="0"/>
          <c:extLst xmlns:c16r2="http://schemas.microsoft.com/office/drawing/2015/06/chart">
            <c:ext xmlns:c16="http://schemas.microsoft.com/office/drawing/2014/chart" uri="{C3380CC4-5D6E-409C-BE32-E72D297353CC}">
              <c16:uniqueId val="{00000002-08DF-4A43-937B-75A7D18866F8}"/>
            </c:ext>
          </c:extLst>
        </c:ser>
        <c:dLbls>
          <c:showLegendKey val="0"/>
          <c:showVal val="0"/>
          <c:showCatName val="0"/>
          <c:showSerName val="0"/>
          <c:showPercent val="0"/>
          <c:showBubbleSize val="0"/>
        </c:dLbls>
        <c:axId val="413530472"/>
        <c:axId val="413524200"/>
      </c:scatterChart>
      <c:valAx>
        <c:axId val="413530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3524200"/>
        <c:crosses val="autoZero"/>
        <c:crossBetween val="midCat"/>
      </c:valAx>
      <c:valAx>
        <c:axId val="4135242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3530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 RADWAG</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¬'!$B$178:$B$184</c:f>
              <c:strCache>
                <c:ptCount val="7"/>
                <c:pt idx="0">
                  <c:v>balanza digital de 8100 g</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7893411444108266"/>
                  <c:y val="2.5845189527348558E-2"/>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¬'!$F$178:$F$187</c:f>
              <c:numCache>
                <c:formatCode>0</c:formatCode>
                <c:ptCount val="10"/>
                <c:pt idx="0">
                  <c:v>100</c:v>
                </c:pt>
                <c:pt idx="1">
                  <c:v>200</c:v>
                </c:pt>
                <c:pt idx="2">
                  <c:v>500</c:v>
                </c:pt>
                <c:pt idx="3">
                  <c:v>1000</c:v>
                </c:pt>
                <c:pt idx="4">
                  <c:v>1500</c:v>
                </c:pt>
                <c:pt idx="5">
                  <c:v>2000</c:v>
                </c:pt>
                <c:pt idx="6">
                  <c:v>3500</c:v>
                </c:pt>
                <c:pt idx="7">
                  <c:v>5000</c:v>
                </c:pt>
                <c:pt idx="8">
                  <c:v>6500</c:v>
                </c:pt>
                <c:pt idx="9">
                  <c:v>8100</c:v>
                </c:pt>
              </c:numCache>
            </c:numRef>
          </c:xVal>
          <c:yVal>
            <c:numRef>
              <c:f>'DATOS ¬'!$H$178:$H$187</c:f>
              <c:numCache>
                <c:formatCode>0.00</c:formatCode>
                <c:ptCount val="10"/>
                <c:pt idx="0">
                  <c:v>0</c:v>
                </c:pt>
                <c:pt idx="1">
                  <c:v>0</c:v>
                </c:pt>
                <c:pt idx="2">
                  <c:v>0</c:v>
                </c:pt>
                <c:pt idx="3" formatCode="General">
                  <c:v>-0.02</c:v>
                </c:pt>
                <c:pt idx="4">
                  <c:v>-0.03</c:v>
                </c:pt>
                <c:pt idx="5" formatCode="General">
                  <c:v>-0.04</c:v>
                </c:pt>
                <c:pt idx="6" formatCode="General">
                  <c:v>-7.0000000000000007E-2</c:v>
                </c:pt>
                <c:pt idx="7" formatCode="General">
                  <c:v>-0.11</c:v>
                </c:pt>
                <c:pt idx="8" formatCode="General">
                  <c:v>-0.15</c:v>
                </c:pt>
                <c:pt idx="9">
                  <c:v>-0.19</c:v>
                </c:pt>
              </c:numCache>
            </c:numRef>
          </c:yVal>
          <c:smooth val="0"/>
          <c:extLst xmlns:c16r2="http://schemas.microsoft.com/office/drawing/2015/06/chart">
            <c:ext xmlns:c16="http://schemas.microsoft.com/office/drawing/2014/chart" uri="{C3380CC4-5D6E-409C-BE32-E72D297353CC}">
              <c16:uniqueId val="{00000002-E55F-4B7D-9FCC-D033C0F5C239}"/>
            </c:ext>
          </c:extLst>
        </c:ser>
        <c:dLbls>
          <c:showLegendKey val="0"/>
          <c:showVal val="0"/>
          <c:showCatName val="0"/>
          <c:showSerName val="0"/>
          <c:showPercent val="0"/>
          <c:showBubbleSize val="0"/>
        </c:dLbls>
        <c:axId val="413524984"/>
        <c:axId val="413527336"/>
      </c:scatterChart>
      <c:valAx>
        <c:axId val="4135249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3527336"/>
        <c:crosses val="autoZero"/>
        <c:crossBetween val="midCat"/>
      </c:valAx>
      <c:valAx>
        <c:axId val="413527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35249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 VIBRA</a:t>
            </a:r>
          </a:p>
        </c:rich>
      </c:tx>
      <c:layout>
        <c:manualLayout>
          <c:xMode val="edge"/>
          <c:yMode val="edge"/>
          <c:x val="0.36089916195837102"/>
          <c:y val="3.381255369977419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¬'!$B$189:$B$198</c:f>
              <c:strCache>
                <c:ptCount val="10"/>
                <c:pt idx="0">
                  <c:v>balanza digital de 60 kg</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7893411444108266"/>
                  <c:y val="2.5845189527348558E-2"/>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¬'!$F$189:$F$198</c:f>
              <c:numCache>
                <c:formatCode>0</c:formatCode>
                <c:ptCount val="10"/>
                <c:pt idx="0">
                  <c:v>100</c:v>
                </c:pt>
                <c:pt idx="1">
                  <c:v>200</c:v>
                </c:pt>
                <c:pt idx="2">
                  <c:v>5000</c:v>
                </c:pt>
                <c:pt idx="3">
                  <c:v>10000</c:v>
                </c:pt>
                <c:pt idx="4">
                  <c:v>15000</c:v>
                </c:pt>
                <c:pt idx="5">
                  <c:v>20000</c:v>
                </c:pt>
                <c:pt idx="6">
                  <c:v>25000</c:v>
                </c:pt>
                <c:pt idx="7">
                  <c:v>35000</c:v>
                </c:pt>
                <c:pt idx="8">
                  <c:v>50000</c:v>
                </c:pt>
                <c:pt idx="9">
                  <c:v>60000</c:v>
                </c:pt>
              </c:numCache>
            </c:numRef>
          </c:xVal>
          <c:yVal>
            <c:numRef>
              <c:f>'DATOS ¬'!$H$189:$H$198</c:f>
              <c:numCache>
                <c:formatCode>0.0</c:formatCode>
                <c:ptCount val="10"/>
                <c:pt idx="0">
                  <c:v>0</c:v>
                </c:pt>
                <c:pt idx="1">
                  <c:v>0</c:v>
                </c:pt>
                <c:pt idx="2">
                  <c:v>0</c:v>
                </c:pt>
                <c:pt idx="3">
                  <c:v>0</c:v>
                </c:pt>
                <c:pt idx="4">
                  <c:v>0.1</c:v>
                </c:pt>
                <c:pt idx="5" formatCode="General">
                  <c:v>0.1</c:v>
                </c:pt>
                <c:pt idx="6">
                  <c:v>0.2</c:v>
                </c:pt>
                <c:pt idx="7">
                  <c:v>0.5</c:v>
                </c:pt>
                <c:pt idx="8" formatCode="General">
                  <c:v>0.7</c:v>
                </c:pt>
                <c:pt idx="9" formatCode="General">
                  <c:v>0.9</c:v>
                </c:pt>
              </c:numCache>
            </c:numRef>
          </c:yVal>
          <c:smooth val="0"/>
          <c:extLst xmlns:c16r2="http://schemas.microsoft.com/office/drawing/2015/06/chart">
            <c:ext xmlns:c16="http://schemas.microsoft.com/office/drawing/2014/chart" uri="{C3380CC4-5D6E-409C-BE32-E72D297353CC}">
              <c16:uniqueId val="{00000003-36FF-442A-B50A-22677020524C}"/>
            </c:ext>
          </c:extLst>
        </c:ser>
        <c:dLbls>
          <c:showLegendKey val="0"/>
          <c:showVal val="0"/>
          <c:showCatName val="0"/>
          <c:showSerName val="0"/>
          <c:showPercent val="0"/>
          <c:showBubbleSize val="0"/>
        </c:dLbls>
        <c:axId val="413531256"/>
        <c:axId val="413529296"/>
      </c:scatterChart>
      <c:valAx>
        <c:axId val="4135312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3529296"/>
        <c:crosses val="autoZero"/>
        <c:crossBetween val="midCat"/>
      </c:valAx>
      <c:valAx>
        <c:axId val="4135292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35312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a:t>
            </a:r>
            <a:r>
              <a:rPr lang="en-US" baseline="0"/>
              <a:t> </a:t>
            </a:r>
            <a:r>
              <a:rPr lang="en-US"/>
              <a:t>V-010</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¬'!$B$50:$B$54</c:f>
              <c:strCache>
                <c:ptCount val="5"/>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846313144850325"/>
                  <c:y val="7.5103569796676234E-2"/>
                </c:manualLayout>
              </c:layout>
              <c:tx>
                <c:rich>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r>
                      <a:rPr lang="en-US" sz="1400" baseline="0"/>
                      <a:t>y = -0.0022x + 0.0916</a:t>
                    </a:r>
                    <a:br>
                      <a:rPr lang="en-US" sz="1400" baseline="0"/>
                    </a:br>
                    <a:r>
                      <a:rPr lang="en-US" sz="1400" baseline="0"/>
                      <a:t>R² = 0.7951</a:t>
                    </a:r>
                    <a:endParaRPr lang="en-US" sz="1400"/>
                  </a:p>
                </c:rich>
              </c:tx>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¬'!$F$50:$F$54</c:f>
              <c:numCache>
                <c:formatCode>0.00</c:formatCode>
                <c:ptCount val="5"/>
                <c:pt idx="0">
                  <c:v>13.92</c:v>
                </c:pt>
                <c:pt idx="1">
                  <c:v>15.92</c:v>
                </c:pt>
                <c:pt idx="2">
                  <c:v>16.96</c:v>
                </c:pt>
                <c:pt idx="3">
                  <c:v>17.96</c:v>
                </c:pt>
                <c:pt idx="4">
                  <c:v>21.96</c:v>
                </c:pt>
              </c:numCache>
            </c:numRef>
          </c:xVal>
          <c:yVal>
            <c:numRef>
              <c:f>'DATOS ¬'!$H$50:$H$54</c:f>
              <c:numCache>
                <c:formatCode>General</c:formatCode>
                <c:ptCount val="5"/>
                <c:pt idx="0">
                  <c:v>0.04</c:v>
                </c:pt>
                <c:pt idx="1">
                  <c:v>0.04</c:v>
                </c:pt>
                <c:pt idx="2">
                  <c:v>0.04</c:v>
                </c:pt>
                <c:pt idx="3">
                  <c:v>0.04</c:v>
                </c:pt>
                <c:pt idx="4">
                  <c:v>0.04</c:v>
                </c:pt>
              </c:numCache>
            </c:numRef>
          </c:yVal>
          <c:smooth val="0"/>
          <c:extLst xmlns:c16r2="http://schemas.microsoft.com/office/drawing/2015/06/chart">
            <c:ext xmlns:c16="http://schemas.microsoft.com/office/drawing/2014/chart" uri="{C3380CC4-5D6E-409C-BE32-E72D297353CC}">
              <c16:uniqueId val="{00000002-71B4-4498-B3B3-D27D8C6AE534}"/>
            </c:ext>
          </c:extLst>
        </c:ser>
        <c:dLbls>
          <c:showLegendKey val="0"/>
          <c:showVal val="0"/>
          <c:showCatName val="0"/>
          <c:showSerName val="0"/>
          <c:showPercent val="0"/>
          <c:showBubbleSize val="0"/>
        </c:dLbls>
        <c:axId val="413525768"/>
        <c:axId val="413527728"/>
      </c:scatterChart>
      <c:valAx>
        <c:axId val="413525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3527728"/>
        <c:crosses val="autoZero"/>
        <c:crossBetween val="midCat"/>
      </c:valAx>
      <c:valAx>
        <c:axId val="4135277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3525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¬'!$A$71</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¬'!$F$71:$F$73</c:f>
              <c:numCache>
                <c:formatCode>0.0</c:formatCode>
                <c:ptCount val="3"/>
                <c:pt idx="0" formatCode="General">
                  <c:v>33.299999999999997</c:v>
                </c:pt>
                <c:pt idx="1">
                  <c:v>55.6</c:v>
                </c:pt>
                <c:pt idx="2">
                  <c:v>78.8</c:v>
                </c:pt>
              </c:numCache>
            </c:numRef>
          </c:xVal>
          <c:yVal>
            <c:numRef>
              <c:f>'DATOS ¬'!$H$71:$H$73</c:f>
              <c:numCache>
                <c:formatCode>0.0</c:formatCode>
                <c:ptCount val="3"/>
                <c:pt idx="0" formatCode="General">
                  <c:v>-3.3</c:v>
                </c:pt>
                <c:pt idx="1">
                  <c:v>-0.6</c:v>
                </c:pt>
                <c:pt idx="2">
                  <c:v>2.1</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336247584"/>
        <c:axId val="336251112"/>
      </c:scatterChart>
      <c:valAx>
        <c:axId val="336247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6251112"/>
        <c:crosses val="autoZero"/>
        <c:crossBetween val="midCat"/>
      </c:valAx>
      <c:valAx>
        <c:axId val="3362511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6247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a:t>
            </a:r>
            <a:r>
              <a:rPr lang="en-US" baseline="0"/>
              <a:t> </a:t>
            </a:r>
            <a:r>
              <a:rPr lang="en-US"/>
              <a:t>V-011</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¬'!$B$56:$B$60</c:f>
              <c:strCache>
                <c:ptCount val="5"/>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680353798603669"/>
                  <c:y val="-0.22983662390951837"/>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¬'!$F$56:$F$60</c:f>
              <c:numCache>
                <c:formatCode>0.00</c:formatCode>
                <c:ptCount val="5"/>
                <c:pt idx="0">
                  <c:v>13.8</c:v>
                </c:pt>
                <c:pt idx="1">
                  <c:v>15.81</c:v>
                </c:pt>
                <c:pt idx="2">
                  <c:v>16.850000000000001</c:v>
                </c:pt>
                <c:pt idx="3">
                  <c:v>17.850000000000001</c:v>
                </c:pt>
                <c:pt idx="4">
                  <c:v>21.85</c:v>
                </c:pt>
              </c:numCache>
            </c:numRef>
          </c:xVal>
          <c:yVal>
            <c:numRef>
              <c:f>'DATOS ¬'!$H$56:$H$60</c:f>
              <c:numCache>
                <c:formatCode>0.00</c:formatCode>
                <c:ptCount val="5"/>
                <c:pt idx="0" formatCode="General">
                  <c:v>0.16</c:v>
                </c:pt>
                <c:pt idx="1">
                  <c:v>0.15</c:v>
                </c:pt>
                <c:pt idx="2">
                  <c:v>0.15</c:v>
                </c:pt>
                <c:pt idx="3" formatCode="General">
                  <c:v>0.15</c:v>
                </c:pt>
                <c:pt idx="4" formatCode="General">
                  <c:v>0.15</c:v>
                </c:pt>
              </c:numCache>
            </c:numRef>
          </c:yVal>
          <c:smooth val="0"/>
          <c:extLst xmlns:c16r2="http://schemas.microsoft.com/office/drawing/2015/06/chart">
            <c:ext xmlns:c16="http://schemas.microsoft.com/office/drawing/2014/chart" uri="{C3380CC4-5D6E-409C-BE32-E72D297353CC}">
              <c16:uniqueId val="{00000002-62C7-48BB-B7FF-EE79BFBED1FC}"/>
            </c:ext>
          </c:extLst>
        </c:ser>
        <c:dLbls>
          <c:showLegendKey val="0"/>
          <c:showVal val="0"/>
          <c:showCatName val="0"/>
          <c:showSerName val="0"/>
          <c:showPercent val="0"/>
          <c:showBubbleSize val="0"/>
        </c:dLbls>
        <c:axId val="413526160"/>
        <c:axId val="413526552"/>
      </c:scatterChart>
      <c:valAx>
        <c:axId val="4135261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3526552"/>
        <c:crosses val="autoZero"/>
        <c:crossBetween val="midCat"/>
      </c:valAx>
      <c:valAx>
        <c:axId val="4135265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35261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V-004</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¬'!$B$44</c:f>
              <c:strCache>
                <c:ptCount val="1"/>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¬'!$F$38:$F$42</c:f>
              <c:numCache>
                <c:formatCode>0.000</c:formatCode>
                <c:ptCount val="5"/>
                <c:pt idx="0">
                  <c:v>14.003</c:v>
                </c:pt>
                <c:pt idx="1">
                  <c:v>16.012</c:v>
                </c:pt>
                <c:pt idx="2">
                  <c:v>17.021999999999998</c:v>
                </c:pt>
                <c:pt idx="3" formatCode="General">
                  <c:v>18.026</c:v>
                </c:pt>
                <c:pt idx="4">
                  <c:v>22.04</c:v>
                </c:pt>
              </c:numCache>
            </c:numRef>
          </c:xVal>
          <c:yVal>
            <c:numRef>
              <c:f>'DATOS ¬'!$H$38:$H$42</c:f>
              <c:numCache>
                <c:formatCode>0.000</c:formatCode>
                <c:ptCount val="5"/>
                <c:pt idx="0">
                  <c:v>-0.02</c:v>
                </c:pt>
                <c:pt idx="1">
                  <c:v>-2.1999999999999999E-2</c:v>
                </c:pt>
                <c:pt idx="2">
                  <c:v>-2.3E-2</c:v>
                </c:pt>
                <c:pt idx="3" formatCode="General">
                  <c:v>-2.5000000000000001E-2</c:v>
                </c:pt>
                <c:pt idx="4" formatCode="General">
                  <c:v>-3.1E-2</c:v>
                </c:pt>
              </c:numCache>
            </c:numRef>
          </c:yVal>
          <c:smooth val="0"/>
          <c:extLst xmlns:c16r2="http://schemas.microsoft.com/office/drawing/2015/06/chart">
            <c:ext xmlns:c16="http://schemas.microsoft.com/office/drawing/2014/chart" uri="{C3380CC4-5D6E-409C-BE32-E72D297353CC}">
              <c16:uniqueId val="{00000002-24D7-4053-9472-394842BD51C5}"/>
            </c:ext>
          </c:extLst>
        </c:ser>
        <c:dLbls>
          <c:showLegendKey val="0"/>
          <c:showVal val="0"/>
          <c:showCatName val="0"/>
          <c:showSerName val="0"/>
          <c:showPercent val="0"/>
          <c:showBubbleSize val="0"/>
        </c:dLbls>
        <c:axId val="414440264"/>
        <c:axId val="414442616"/>
      </c:scatterChart>
      <c:valAx>
        <c:axId val="414440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4442616"/>
        <c:crosses val="autoZero"/>
        <c:crossBetween val="midCat"/>
      </c:valAx>
      <c:valAx>
        <c:axId val="4144426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4440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RVC</a:t>
            </a:r>
            <a:r>
              <a:rPr lang="en-US" baseline="0"/>
              <a:t> liquido</a:t>
            </a:r>
            <a:endParaRPr lang="en-US"/>
          </a:p>
        </c:rich>
      </c:tx>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9.7354158475438102E-2"/>
          <c:y val="0.12910517140744168"/>
          <c:w val="0.85198690451252068"/>
          <c:h val="0.7016662653353376"/>
        </c:manualLayout>
      </c:layout>
      <c:scatterChart>
        <c:scatterStyle val="lineMarker"/>
        <c:varyColors val="0"/>
        <c:ser>
          <c:idx val="0"/>
          <c:order val="0"/>
          <c:tx>
            <c:strRef>
              <c:f>'RT03-F52 ¬ '!$A$8:$A$12</c:f>
              <c:strCache>
                <c:ptCount val="5"/>
                <c:pt idx="0">
                  <c:v>Termómetro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170575843364778"/>
                  <c:y val="8.028722423122558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strRef>
              <c:f>'RT03-F52 ¬ '!$C$8:$C$12</c:f>
              <c:strCache>
                <c:ptCount val="5"/>
                <c:pt idx="0">
                  <c:v>N/A</c:v>
                </c:pt>
                <c:pt idx="1">
                  <c:v>N/A</c:v>
                </c:pt>
                <c:pt idx="2">
                  <c:v>N/A</c:v>
                </c:pt>
                <c:pt idx="3">
                  <c:v>N/A</c:v>
                </c:pt>
                <c:pt idx="4">
                  <c:v>N/A</c:v>
                </c:pt>
              </c:strCache>
            </c:strRef>
          </c:xVal>
          <c:yVal>
            <c:numRef>
              <c:f>'RT03-F52 ¬ '!$G$8:$G$12</c:f>
              <c:numCache>
                <c:formatCode>0.000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2-08DF-4A43-937B-75A7D18866F8}"/>
            </c:ext>
          </c:extLst>
        </c:ser>
        <c:dLbls>
          <c:showLegendKey val="0"/>
          <c:showVal val="0"/>
          <c:showCatName val="0"/>
          <c:showSerName val="0"/>
          <c:showPercent val="0"/>
          <c:showBubbleSize val="0"/>
        </c:dLbls>
        <c:axId val="414435560"/>
        <c:axId val="414437128"/>
      </c:scatterChart>
      <c:valAx>
        <c:axId val="414435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4437128"/>
        <c:crosses val="autoZero"/>
        <c:crossBetween val="midCat"/>
      </c:valAx>
      <c:valAx>
        <c:axId val="4144371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4435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a:t>
            </a:r>
          </a:p>
        </c:rich>
      </c:tx>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'RT03-F52 ¬ '!$A$13:$A$17</c:f>
              <c:strCache>
                <c:ptCount val="5"/>
                <c:pt idx="0">
                  <c:v>Instrumento de pesaje de funcionamiento no automático-IPFNA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8552747200282843"/>
                  <c:y val="-4.7259230859345875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'RT03-F52 ¬ '!$C$13:$C$22</c:f>
              <c:numCache>
                <c:formatCode>0</c:formatCode>
                <c:ptCount val="10"/>
                <c:pt idx="0">
                  <c:v>#N/A</c:v>
                </c:pt>
                <c:pt idx="1">
                  <c:v>#N/A</c:v>
                </c:pt>
                <c:pt idx="2">
                  <c:v>#N/A</c:v>
                </c:pt>
                <c:pt idx="3">
                  <c:v>#N/A</c:v>
                </c:pt>
                <c:pt idx="4">
                  <c:v>#N/A</c:v>
                </c:pt>
                <c:pt idx="5">
                  <c:v>#N/A</c:v>
                </c:pt>
                <c:pt idx="6">
                  <c:v>#N/A</c:v>
                </c:pt>
                <c:pt idx="7">
                  <c:v>#N/A</c:v>
                </c:pt>
                <c:pt idx="8">
                  <c:v>#N/A</c:v>
                </c:pt>
                <c:pt idx="9">
                  <c:v>#N/A</c:v>
                </c:pt>
              </c:numCache>
            </c:numRef>
          </c:xVal>
          <c:yVal>
            <c:numRef>
              <c:f>'RT03-F52 ¬ '!$G$13:$G$22</c:f>
              <c:numCache>
                <c:formatCode>0.0</c:formatCode>
                <c:ptCount val="10"/>
                <c:pt idx="0">
                  <c:v>#N/A</c:v>
                </c:pt>
                <c:pt idx="1">
                  <c:v>#N/A</c:v>
                </c:pt>
                <c:pt idx="2">
                  <c:v>#N/A</c:v>
                </c:pt>
                <c:pt idx="3">
                  <c:v>#N/A</c:v>
                </c:pt>
                <c:pt idx="4">
                  <c:v>#N/A</c:v>
                </c:pt>
                <c:pt idx="5">
                  <c:v>#N/A</c:v>
                </c:pt>
                <c:pt idx="6">
                  <c:v>#N/A</c:v>
                </c:pt>
                <c:pt idx="7">
                  <c:v>#N/A</c:v>
                </c:pt>
                <c:pt idx="8">
                  <c:v>#N/A</c:v>
                </c:pt>
                <c:pt idx="9">
                  <c:v>#N/A</c:v>
                </c:pt>
              </c:numCache>
            </c:numRef>
          </c:yVal>
          <c:smooth val="0"/>
          <c:extLst xmlns:c16r2="http://schemas.microsoft.com/office/drawing/2015/06/chart">
            <c:ext xmlns:c16="http://schemas.microsoft.com/office/drawing/2014/chart" uri="{C3380CC4-5D6E-409C-BE32-E72D297353CC}">
              <c16:uniqueId val="{00000002-5956-4A75-9DCD-0852180ABA14}"/>
            </c:ext>
          </c:extLst>
        </c:ser>
        <c:dLbls>
          <c:showLegendKey val="0"/>
          <c:showVal val="0"/>
          <c:showCatName val="0"/>
          <c:showSerName val="0"/>
          <c:showPercent val="0"/>
          <c:showBubbleSize val="0"/>
        </c:dLbls>
        <c:axId val="414437912"/>
        <c:axId val="414440656"/>
      </c:scatterChart>
      <c:valAx>
        <c:axId val="414437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4440656"/>
        <c:crosses val="autoZero"/>
        <c:crossBetween val="midCat"/>
      </c:valAx>
      <c:valAx>
        <c:axId val="4144406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4437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'!$P$110</c:f>
              <c:strCache>
                <c:ptCount val="1"/>
                <c:pt idx="0">
                  <c:v>Aporte a la Incertidumbre (aire)</c:v>
                </c:pt>
              </c:strCache>
            </c:strRef>
          </c:tx>
          <c:spPr>
            <a:solidFill>
              <a:schemeClr val="accent1">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'!$A$112:$A$124</c:f>
              <c:strCache>
                <c:ptCount val="13"/>
                <c:pt idx="0">
                  <c:v>Ecuación</c:v>
                </c:pt>
                <c:pt idx="1">
                  <c:v>Taire (°C)</c:v>
                </c:pt>
                <c:pt idx="2">
                  <c:v>Calibración termómetro</c:v>
                </c:pt>
                <c:pt idx="3">
                  <c:v>resolución termómetro</c:v>
                </c:pt>
                <c:pt idx="4">
                  <c:v>Deriva del termómetro</c:v>
                </c:pt>
                <c:pt idx="5">
                  <c:v>Humedad (% hr)</c:v>
                </c:pt>
                <c:pt idx="6">
                  <c:v>Calibración higrómetro</c:v>
                </c:pt>
                <c:pt idx="7">
                  <c:v>resolución higrómetro</c:v>
                </c:pt>
                <c:pt idx="8">
                  <c:v>Deriva del higrómetro</c:v>
                </c:pt>
                <c:pt idx="9">
                  <c:v>Presión (hPa)</c:v>
                </c:pt>
                <c:pt idx="10">
                  <c:v>Calibración barómetro</c:v>
                </c:pt>
                <c:pt idx="11">
                  <c:v>resolución barómetro</c:v>
                </c:pt>
                <c:pt idx="12">
                  <c:v>Deriva del barómetro</c:v>
                </c:pt>
              </c:strCache>
            </c:strRef>
          </c:cat>
          <c:val>
            <c:numRef>
              <c:f>'RT03-F52 ¬ '!$P$112:$P$124</c:f>
              <c:numCache>
                <c:formatCode>General</c:formatCode>
                <c:ptCount val="13"/>
                <c:pt idx="0" formatCode="0%">
                  <c:v>#N/A</c:v>
                </c:pt>
                <c:pt idx="2" formatCode="0%">
                  <c:v>#N/A</c:v>
                </c:pt>
                <c:pt idx="3" formatCode="0%">
                  <c:v>#N/A</c:v>
                </c:pt>
                <c:pt idx="4" formatCode="0.00%">
                  <c:v>#N/A</c:v>
                </c:pt>
                <c:pt idx="6" formatCode="0%">
                  <c:v>#N/A</c:v>
                </c:pt>
                <c:pt idx="7" formatCode="0.0000%">
                  <c:v>#N/A</c:v>
                </c:pt>
                <c:pt idx="8" formatCode="0.00%">
                  <c:v>#N/A</c:v>
                </c:pt>
                <c:pt idx="10" formatCode="0%">
                  <c:v>#N/A</c:v>
                </c:pt>
                <c:pt idx="11" formatCode="0.00%">
                  <c:v>#N/A</c:v>
                </c:pt>
                <c:pt idx="12" formatCode="0.00%">
                  <c:v>#N/A</c:v>
                </c:pt>
              </c:numCache>
            </c:numRef>
          </c:val>
          <c:extLst xmlns:c16r2="http://schemas.microsoft.com/office/drawing/2015/06/chart">
            <c:ext xmlns:c16="http://schemas.microsoft.com/office/drawing/2014/chart" uri="{C3380CC4-5D6E-409C-BE32-E72D297353CC}">
              <c16:uniqueId val="{00000000-96E2-434C-838E-3A183A11BDD9}"/>
            </c:ext>
          </c:extLst>
        </c:ser>
        <c:dLbls>
          <c:dLblPos val="inEnd"/>
          <c:showLegendKey val="0"/>
          <c:showVal val="1"/>
          <c:showCatName val="0"/>
          <c:showSerName val="0"/>
          <c:showPercent val="0"/>
          <c:showBubbleSize val="0"/>
        </c:dLbls>
        <c:gapWidth val="65"/>
        <c:axId val="414435952"/>
        <c:axId val="414436736"/>
      </c:barChart>
      <c:catAx>
        <c:axId val="4144359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4436736"/>
        <c:crosses val="autoZero"/>
        <c:auto val="1"/>
        <c:lblAlgn val="ctr"/>
        <c:lblOffset val="100"/>
        <c:noMultiLvlLbl val="0"/>
      </c:catAx>
      <c:valAx>
        <c:axId val="4144367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1443595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'!$P$134</c:f>
              <c:strCache>
                <c:ptCount val="1"/>
                <c:pt idx="0">
                  <c:v>Aporte a la Incertidumbre (agua)</c:v>
                </c:pt>
              </c:strCache>
            </c:strRef>
          </c:tx>
          <c:spPr>
            <a:solidFill>
              <a:schemeClr val="accent1">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'!$A$136:$A$146</c:f>
              <c:strCache>
                <c:ptCount val="11"/>
                <c:pt idx="0">
                  <c:v>Expansión del agua</c:v>
                </c:pt>
                <c:pt idx="1">
                  <c:v>Composición isotópica</c:v>
                </c:pt>
                <c:pt idx="2">
                  <c:v>Ecuación</c:v>
                </c:pt>
                <c:pt idx="3">
                  <c:v>Tagua (°C)</c:v>
                </c:pt>
                <c:pt idx="4">
                  <c:v>Calibración termómetro</c:v>
                </c:pt>
                <c:pt idx="5">
                  <c:v>Resolución termómetro</c:v>
                </c:pt>
                <c:pt idx="6">
                  <c:v>Deriva del termómetro</c:v>
                </c:pt>
                <c:pt idx="7">
                  <c:v>Presión (hPa)</c:v>
                </c:pt>
                <c:pt idx="8">
                  <c:v>Calibración barómetro</c:v>
                </c:pt>
                <c:pt idx="9">
                  <c:v>Resolución barómetro</c:v>
                </c:pt>
                <c:pt idx="10">
                  <c:v>Deriva del barómetro</c:v>
                </c:pt>
              </c:strCache>
            </c:strRef>
          </c:cat>
          <c:val>
            <c:numRef>
              <c:f>'RT03-F52 ¬ '!$P$136:$P$146</c:f>
              <c:numCache>
                <c:formatCode>0%</c:formatCode>
                <c:ptCount val="11"/>
                <c:pt idx="0">
                  <c:v>0</c:v>
                </c:pt>
                <c:pt idx="1">
                  <c:v>#N/A</c:v>
                </c:pt>
                <c:pt idx="2" formatCode="0.0%">
                  <c:v>#N/A</c:v>
                </c:pt>
                <c:pt idx="4">
                  <c:v>0</c:v>
                </c:pt>
                <c:pt idx="5" formatCode="0.0000%">
                  <c:v>0</c:v>
                </c:pt>
                <c:pt idx="6" formatCode="0.000%">
                  <c:v>0</c:v>
                </c:pt>
                <c:pt idx="8" formatCode="0.000000%">
                  <c:v>#N/A</c:v>
                </c:pt>
                <c:pt idx="9" formatCode="0.0000000%">
                  <c:v>#N/A</c:v>
                </c:pt>
                <c:pt idx="10" formatCode="0.00%">
                  <c:v>0</c:v>
                </c:pt>
              </c:numCache>
            </c:numRef>
          </c:val>
          <c:extLst xmlns:c16r2="http://schemas.microsoft.com/office/drawing/2015/06/chart">
            <c:ext xmlns:c16="http://schemas.microsoft.com/office/drawing/2014/chart" uri="{C3380CC4-5D6E-409C-BE32-E72D297353CC}">
              <c16:uniqueId val="{00000000-DEC1-47C8-B0F4-C84374DC84BC}"/>
            </c:ext>
          </c:extLst>
        </c:ser>
        <c:dLbls>
          <c:dLblPos val="inEnd"/>
          <c:showLegendKey val="0"/>
          <c:showVal val="1"/>
          <c:showCatName val="0"/>
          <c:showSerName val="0"/>
          <c:showPercent val="0"/>
          <c:showBubbleSize val="0"/>
        </c:dLbls>
        <c:gapWidth val="65"/>
        <c:axId val="414441440"/>
        <c:axId val="414436344"/>
      </c:barChart>
      <c:catAx>
        <c:axId val="4144414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4436344"/>
        <c:crosses val="autoZero"/>
        <c:auto val="1"/>
        <c:lblAlgn val="ctr"/>
        <c:lblOffset val="100"/>
        <c:noMultiLvlLbl val="0"/>
      </c:catAx>
      <c:valAx>
        <c:axId val="4144363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144414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'!$R$153</c:f>
              <c:strCache>
                <c:ptCount val="1"/>
                <c:pt idx="0">
                  <c:v>Aporte a la Incertidumbre (volumen)</c:v>
                </c:pt>
              </c:strCache>
            </c:strRef>
          </c:tx>
          <c:spPr>
            <a:solidFill>
              <a:schemeClr val="accent1">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'!$A$156:$A$182</c:f>
              <c:strCache>
                <c:ptCount val="27"/>
                <c:pt idx="0">
                  <c:v>Resolución balanza, g</c:v>
                </c:pt>
                <c:pt idx="1">
                  <c:v>Calibración, g</c:v>
                </c:pt>
                <c:pt idx="2">
                  <c:v>Excentricidad, g</c:v>
                </c:pt>
                <c:pt idx="3">
                  <c:v>Deriva,g</c:v>
                </c:pt>
                <c:pt idx="4">
                  <c:v>Lectura recipiente vacío g</c:v>
                </c:pt>
                <c:pt idx="5">
                  <c:v>Resolución, g</c:v>
                </c:pt>
                <c:pt idx="6">
                  <c:v>Calibración, g</c:v>
                </c:pt>
                <c:pt idx="7">
                  <c:v>Excentricidad, g</c:v>
                </c:pt>
                <c:pt idx="8">
                  <c:v>Incertidumbre del método</c:v>
                </c:pt>
                <c:pt idx="9">
                  <c:v>Densidad del aire (g/cm3)</c:v>
                </c:pt>
                <c:pt idx="10">
                  <c:v>CIPM Versión Exponencial 2007</c:v>
                </c:pt>
                <c:pt idx="11">
                  <c:v>Densidad del agua [g/cm³]</c:v>
                </c:pt>
                <c:pt idx="12">
                  <c:v>Tanaka</c:v>
                </c:pt>
                <c:pt idx="13">
                  <c:v>Den. Masas [g/cm³]</c:v>
                </c:pt>
                <c:pt idx="14">
                  <c:v>OIML R 111-1</c:v>
                </c:pt>
                <c:pt idx="15">
                  <c:v>Coef. Cúbico de exp. [1/°C]</c:v>
                </c:pt>
                <c:pt idx="16">
                  <c:v>Coeficiente expansión Térmica del material</c:v>
                </c:pt>
                <c:pt idx="17">
                  <c:v>Temperatura del agua [°C]</c:v>
                </c:pt>
                <c:pt idx="18">
                  <c:v>Resolución termómetro, ºC</c:v>
                </c:pt>
                <c:pt idx="19">
                  <c:v>Calibración termómetro, ºC</c:v>
                </c:pt>
                <c:pt idx="20">
                  <c:v>Deriva termómetro, ºC</c:v>
                </c:pt>
                <c:pt idx="21">
                  <c:v>Gradiente en la medición de la temperatura</c:v>
                </c:pt>
                <c:pt idx="22">
                  <c:v>Gradiente entre Tagua y T aire, ºC</c:v>
                </c:pt>
                <c:pt idx="23">
                  <c:v>Repetibilidad</c:v>
                </c:pt>
                <c:pt idx="24">
                  <c:v>Ajuste menisco (Efecto operador)</c:v>
                </c:pt>
                <c:pt idx="25">
                  <c:v>Ajuste menisco (Efecto operador)</c:v>
                </c:pt>
                <c:pt idx="26">
                  <c:v>Evaporación</c:v>
                </c:pt>
              </c:strCache>
            </c:strRef>
          </c:cat>
          <c:val>
            <c:numRef>
              <c:f>'RT03-F52 ¬ '!$R$156:$R$182</c:f>
              <c:numCache>
                <c:formatCode>0.000%</c:formatCode>
                <c:ptCount val="27"/>
                <c:pt idx="0">
                  <c:v>#N/A</c:v>
                </c:pt>
                <c:pt idx="1">
                  <c:v>#N/A</c:v>
                </c:pt>
                <c:pt idx="2">
                  <c:v>#N/A</c:v>
                </c:pt>
                <c:pt idx="3">
                  <c:v>#N/A</c:v>
                </c:pt>
                <c:pt idx="5">
                  <c:v>#N/A</c:v>
                </c:pt>
                <c:pt idx="6">
                  <c:v>#N/A</c:v>
                </c:pt>
                <c:pt idx="7">
                  <c:v>#N/A</c:v>
                </c:pt>
                <c:pt idx="8">
                  <c:v>#N/A</c:v>
                </c:pt>
                <c:pt idx="10">
                  <c:v>#N/A</c:v>
                </c:pt>
                <c:pt idx="12">
                  <c:v>0</c:v>
                </c:pt>
                <c:pt idx="14">
                  <c:v>#N/A</c:v>
                </c:pt>
                <c:pt idx="16">
                  <c:v>#N/A</c:v>
                </c:pt>
                <c:pt idx="18">
                  <c:v>#N/A</c:v>
                </c:pt>
                <c:pt idx="19">
                  <c:v>#N/A</c:v>
                </c:pt>
                <c:pt idx="20">
                  <c:v>#N/A</c:v>
                </c:pt>
                <c:pt idx="21">
                  <c:v>#N/A</c:v>
                </c:pt>
                <c:pt idx="22" formatCode="0.00%">
                  <c:v>#N/A</c:v>
                </c:pt>
                <c:pt idx="23" formatCode="0.0%">
                  <c:v>#N/A</c:v>
                </c:pt>
                <c:pt idx="24" formatCode="0.0%">
                  <c:v>#N/A</c:v>
                </c:pt>
                <c:pt idx="25">
                  <c:v>#N/A</c:v>
                </c:pt>
                <c:pt idx="26" formatCode="0.0%">
                  <c:v>#N/A</c:v>
                </c:pt>
              </c:numCache>
            </c:numRef>
          </c:val>
          <c:extLst xmlns:c16r2="http://schemas.microsoft.com/office/drawing/2015/06/chart">
            <c:ext xmlns:c16="http://schemas.microsoft.com/office/drawing/2014/chart" uri="{C3380CC4-5D6E-409C-BE32-E72D297353CC}">
              <c16:uniqueId val="{00000000-F04D-4B2C-8AD2-6F19C27E0F6B}"/>
            </c:ext>
          </c:extLst>
        </c:ser>
        <c:dLbls>
          <c:dLblPos val="inEnd"/>
          <c:showLegendKey val="0"/>
          <c:showVal val="1"/>
          <c:showCatName val="0"/>
          <c:showSerName val="0"/>
          <c:showPercent val="0"/>
          <c:showBubbleSize val="0"/>
        </c:dLbls>
        <c:gapWidth val="65"/>
        <c:axId val="414438304"/>
        <c:axId val="414438696"/>
      </c:barChart>
      <c:catAx>
        <c:axId val="4144383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4438696"/>
        <c:crosses val="autoZero"/>
        <c:auto val="1"/>
        <c:lblAlgn val="ctr"/>
        <c:lblOffset val="100"/>
        <c:noMultiLvlLbl val="0"/>
      </c:catAx>
      <c:valAx>
        <c:axId val="4144386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0%" sourceLinked="1"/>
        <c:majorTickMark val="none"/>
        <c:minorTickMark val="none"/>
        <c:tickLblPos val="nextTo"/>
        <c:crossAx val="41443830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s-CO"/>
              <a:t>volumen antes de ajuste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lineChart>
        <c:grouping val="standard"/>
        <c:varyColors val="0"/>
        <c:ser>
          <c:idx val="0"/>
          <c:order val="0"/>
          <c:tx>
            <c:strRef>
              <c:f>'PC ¬'!$B$3</c:f>
              <c:strCache>
                <c:ptCount val="1"/>
                <c:pt idx="0">
                  <c:v>TU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¬'!$B$4:$B$8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B0B1-4A70-B967-42302C221AFD}"/>
            </c:ext>
          </c:extLst>
        </c:ser>
        <c:ser>
          <c:idx val="1"/>
          <c:order val="1"/>
          <c:tx>
            <c:strRef>
              <c:f>'PC ¬'!$C$3</c:f>
              <c:strCache>
                <c:ptCount val="1"/>
                <c:pt idx="0">
                  <c:v>TL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¬'!$C$4:$C$8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0B1-4A70-B967-42302C221AFD}"/>
            </c:ext>
          </c:extLst>
        </c:ser>
        <c:ser>
          <c:idx val="2"/>
          <c:order val="2"/>
          <c:tx>
            <c:strRef>
              <c:f>'PC ¬'!$D$3</c:f>
              <c:strCache>
                <c:ptCount val="1"/>
                <c:pt idx="0">
                  <c:v>Volumen nominal</c:v>
                </c:pt>
              </c:strCache>
            </c:strRef>
          </c:tx>
          <c:spPr>
            <a:ln w="19050" cap="rnd">
              <a:solidFill>
                <a:srgbClr val="00B05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¬'!$D$4:$D$8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B0B1-4A70-B967-42302C221AFD}"/>
            </c:ext>
          </c:extLst>
        </c:ser>
        <c:ser>
          <c:idx val="3"/>
          <c:order val="3"/>
          <c:tx>
            <c:strRef>
              <c:f>'PC ¬'!$E$3</c:f>
              <c:strCache>
                <c:ptCount val="1"/>
                <c:pt idx="0">
                  <c:v>Error indicación (mL)</c:v>
                </c:pt>
              </c:strCache>
            </c:strRef>
          </c:tx>
          <c:spPr>
            <a:ln w="1905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'PC ¬'!$F$4:$F$8</c:f>
                <c:numCache>
                  <c:formatCode>General</c:formatCode>
                  <c:ptCount val="5"/>
                  <c:pt idx="1">
                    <c:v>#N/A</c:v>
                  </c:pt>
                  <c:pt idx="2">
                    <c:v>#N/A</c:v>
                  </c:pt>
                </c:numCache>
              </c:numRef>
            </c:plus>
            <c:minus>
              <c:numRef>
                <c:f>'PC ¬'!$F$4:$F$8</c:f>
                <c:numCache>
                  <c:formatCode>General</c:formatCode>
                  <c:ptCount val="5"/>
                  <c:pt idx="1">
                    <c:v>#N/A</c:v>
                  </c:pt>
                  <c:pt idx="2">
                    <c:v>#N/A</c:v>
                  </c:pt>
                </c:numCache>
              </c:numRef>
            </c:minus>
            <c:spPr>
              <a:noFill/>
              <a:ln w="9525" cap="flat" cmpd="sng" algn="ctr">
                <a:solidFill>
                  <a:schemeClr val="tx1">
                    <a:lumMod val="65000"/>
                    <a:lumOff val="35000"/>
                  </a:schemeClr>
                </a:solidFill>
                <a:round/>
              </a:ln>
              <a:effectLst/>
            </c:spPr>
          </c:errBars>
          <c:cat>
            <c:strRef>
              <c:f>'PC ¬'!$A$4:$A$8</c:f>
              <c:strCache>
                <c:ptCount val="5"/>
                <c:pt idx="0">
                  <c:v>1</c:v>
                </c:pt>
                <c:pt idx="1">
                  <c:v>Antes de ajuste</c:v>
                </c:pt>
                <c:pt idx="2">
                  <c:v>Después de ajuste</c:v>
                </c:pt>
                <c:pt idx="3">
                  <c:v>3</c:v>
                </c:pt>
                <c:pt idx="4">
                  <c:v>4</c:v>
                </c:pt>
              </c:strCache>
            </c:strRef>
          </c:cat>
          <c:val>
            <c:numRef>
              <c:f>'PC ¬'!$E$4:$E$5</c:f>
              <c:numCache>
                <c:formatCode>0.00</c:formatCode>
                <c:ptCount val="2"/>
                <c:pt idx="1">
                  <c:v>#N/A</c:v>
                </c:pt>
              </c:numCache>
            </c:numRef>
          </c:val>
          <c:smooth val="0"/>
          <c:extLst xmlns:c16r2="http://schemas.microsoft.com/office/drawing/2015/06/chart">
            <c:ext xmlns:c16="http://schemas.microsoft.com/office/drawing/2014/chart" uri="{C3380CC4-5D6E-409C-BE32-E72D297353CC}">
              <c16:uniqueId val="{00000003-B0B1-4A70-B967-42302C221AFD}"/>
            </c:ext>
          </c:extLst>
        </c:ser>
        <c:dLbls>
          <c:showLegendKey val="0"/>
          <c:showVal val="0"/>
          <c:showCatName val="0"/>
          <c:showSerName val="0"/>
          <c:showPercent val="0"/>
          <c:showBubbleSize val="0"/>
        </c:dLbls>
        <c:smooth val="0"/>
        <c:axId val="414439088"/>
        <c:axId val="415530328"/>
      </c:lineChart>
      <c:catAx>
        <c:axId val="41443908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415530328"/>
        <c:crosses val="autoZero"/>
        <c:auto val="1"/>
        <c:lblAlgn val="ctr"/>
        <c:lblOffset val="100"/>
        <c:noMultiLvlLbl val="0"/>
      </c:catAx>
      <c:valAx>
        <c:axId val="415530328"/>
        <c:scaling>
          <c:orientation val="minMax"/>
          <c:min val="-15.01"/>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1443908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schemeClr>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RVC</a:t>
            </a:r>
            <a:r>
              <a:rPr lang="en-US" baseline="0"/>
              <a:t> liquido</a:t>
            </a:r>
            <a:endParaRPr lang="en-US"/>
          </a:p>
        </c:rich>
      </c:tx>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9.7354158475438102E-2"/>
          <c:y val="0.12910517140744168"/>
          <c:w val="0.85198690451252068"/>
          <c:h val="0.7016662653353376"/>
        </c:manualLayout>
      </c:layout>
      <c:scatterChart>
        <c:scatterStyle val="lineMarker"/>
        <c:varyColors val="0"/>
        <c:ser>
          <c:idx val="0"/>
          <c:order val="0"/>
          <c:tx>
            <c:strRef>
              <c:f>'RT03-F52 ¬ '!$A$8:$A$12</c:f>
              <c:strCache>
                <c:ptCount val="5"/>
                <c:pt idx="0">
                  <c:v>Termómetro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170575843364778"/>
                  <c:y val="8.028722423122558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strRef>
              <c:f>'RT03-F52 ¬ '!$C$8:$C$12</c:f>
              <c:strCache>
                <c:ptCount val="5"/>
                <c:pt idx="0">
                  <c:v>N/A</c:v>
                </c:pt>
                <c:pt idx="1">
                  <c:v>N/A</c:v>
                </c:pt>
                <c:pt idx="2">
                  <c:v>N/A</c:v>
                </c:pt>
                <c:pt idx="3">
                  <c:v>N/A</c:v>
                </c:pt>
                <c:pt idx="4">
                  <c:v>N/A</c:v>
                </c:pt>
              </c:strCache>
            </c:strRef>
          </c:xVal>
          <c:yVal>
            <c:numRef>
              <c:f>'RT03-F52 ¬ '!$G$8:$G$12</c:f>
              <c:numCache>
                <c:formatCode>0.000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2-89AB-41EB-8A25-DE11CB23DE74}"/>
            </c:ext>
          </c:extLst>
        </c:ser>
        <c:dLbls>
          <c:showLegendKey val="0"/>
          <c:showVal val="0"/>
          <c:showCatName val="0"/>
          <c:showSerName val="0"/>
          <c:showPercent val="0"/>
          <c:showBubbleSize val="0"/>
        </c:dLbls>
        <c:axId val="415526408"/>
        <c:axId val="415525624"/>
      </c:scatterChart>
      <c:valAx>
        <c:axId val="4155264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5525624"/>
        <c:crosses val="autoZero"/>
        <c:crossBetween val="midCat"/>
      </c:valAx>
      <c:valAx>
        <c:axId val="4155256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55264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a:t>
            </a:r>
          </a:p>
        </c:rich>
      </c:tx>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'RT03-F52 ¬ '!$A$13:$A$17</c:f>
              <c:strCache>
                <c:ptCount val="5"/>
                <c:pt idx="0">
                  <c:v>Instrumento de pesaje de funcionamiento no automático-IPFNA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3860144825339084"/>
                  <c:y val="-5.228578883990922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'RT03-F52 ¬ '!$C$13:$C$22</c:f>
              <c:numCache>
                <c:formatCode>0</c:formatCode>
                <c:ptCount val="10"/>
                <c:pt idx="0">
                  <c:v>#N/A</c:v>
                </c:pt>
                <c:pt idx="1">
                  <c:v>#N/A</c:v>
                </c:pt>
                <c:pt idx="2">
                  <c:v>#N/A</c:v>
                </c:pt>
                <c:pt idx="3">
                  <c:v>#N/A</c:v>
                </c:pt>
                <c:pt idx="4">
                  <c:v>#N/A</c:v>
                </c:pt>
                <c:pt idx="5">
                  <c:v>#N/A</c:v>
                </c:pt>
                <c:pt idx="6">
                  <c:v>#N/A</c:v>
                </c:pt>
                <c:pt idx="7">
                  <c:v>#N/A</c:v>
                </c:pt>
                <c:pt idx="8">
                  <c:v>#N/A</c:v>
                </c:pt>
                <c:pt idx="9">
                  <c:v>#N/A</c:v>
                </c:pt>
              </c:numCache>
            </c:numRef>
          </c:xVal>
          <c:yVal>
            <c:numRef>
              <c:f>'RT03-F52 ¬ '!$G$13:$G$22</c:f>
              <c:numCache>
                <c:formatCode>0.0</c:formatCode>
                <c:ptCount val="10"/>
                <c:pt idx="0">
                  <c:v>#N/A</c:v>
                </c:pt>
                <c:pt idx="1">
                  <c:v>#N/A</c:v>
                </c:pt>
                <c:pt idx="2">
                  <c:v>#N/A</c:v>
                </c:pt>
                <c:pt idx="3">
                  <c:v>#N/A</c:v>
                </c:pt>
                <c:pt idx="4">
                  <c:v>#N/A</c:v>
                </c:pt>
                <c:pt idx="5">
                  <c:v>#N/A</c:v>
                </c:pt>
                <c:pt idx="6">
                  <c:v>#N/A</c:v>
                </c:pt>
                <c:pt idx="7">
                  <c:v>#N/A</c:v>
                </c:pt>
                <c:pt idx="8">
                  <c:v>#N/A</c:v>
                </c:pt>
                <c:pt idx="9">
                  <c:v>#N/A</c:v>
                </c:pt>
              </c:numCache>
            </c:numRef>
          </c:yVal>
          <c:smooth val="0"/>
          <c:extLst xmlns:c16r2="http://schemas.microsoft.com/office/drawing/2015/06/chart">
            <c:ext xmlns:c16="http://schemas.microsoft.com/office/drawing/2014/chart" uri="{C3380CC4-5D6E-409C-BE32-E72D297353CC}">
              <c16:uniqueId val="{00000002-A48C-4EB7-B904-D41087386147}"/>
            </c:ext>
          </c:extLst>
        </c:ser>
        <c:dLbls>
          <c:showLegendKey val="0"/>
          <c:showVal val="0"/>
          <c:showCatName val="0"/>
          <c:showSerName val="0"/>
          <c:showPercent val="0"/>
          <c:showBubbleSize val="0"/>
        </c:dLbls>
        <c:axId val="415522880"/>
        <c:axId val="415524056"/>
      </c:scatterChart>
      <c:valAx>
        <c:axId val="415522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5524056"/>
        <c:crosses val="autoZero"/>
        <c:crossBetween val="midCat"/>
      </c:valAx>
      <c:valAx>
        <c:axId val="415524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15522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¬'!$A$74</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¬'!$F$74:$F$76</c:f>
              <c:numCache>
                <c:formatCode>#,##0.000</c:formatCode>
                <c:ptCount val="3"/>
                <c:pt idx="0">
                  <c:v>499.78800000000001</c:v>
                </c:pt>
                <c:pt idx="1">
                  <c:v>752.28800000000001</c:v>
                </c:pt>
                <c:pt idx="2" formatCode="0.000">
                  <c:v>899.58299999999997</c:v>
                </c:pt>
              </c:numCache>
            </c:numRef>
          </c:xVal>
          <c:yVal>
            <c:numRef>
              <c:f>'DATOS ¬'!$H$74:$H$76</c:f>
              <c:numCache>
                <c:formatCode>0.000</c:formatCode>
                <c:ptCount val="3"/>
                <c:pt idx="0">
                  <c:v>1.6559999999999999</c:v>
                </c:pt>
                <c:pt idx="1">
                  <c:v>1.0900000000000001</c:v>
                </c:pt>
                <c:pt idx="2">
                  <c:v>0.85599999999999998</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336246800"/>
        <c:axId val="336247976"/>
      </c:scatterChart>
      <c:valAx>
        <c:axId val="336246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6247976"/>
        <c:crosses val="autoZero"/>
        <c:crossBetween val="midCat"/>
      </c:valAx>
      <c:valAx>
        <c:axId val="3362479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6246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'!$P$110</c:f>
              <c:strCache>
                <c:ptCount val="1"/>
                <c:pt idx="0">
                  <c:v>Aporte a la Incertidumbre (aire)</c:v>
                </c:pt>
              </c:strCache>
            </c:strRef>
          </c:tx>
          <c:spPr>
            <a:solidFill>
              <a:schemeClr val="accent1">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'!$A$112:$A$124</c:f>
              <c:strCache>
                <c:ptCount val="13"/>
                <c:pt idx="0">
                  <c:v>Ecuación</c:v>
                </c:pt>
                <c:pt idx="1">
                  <c:v>Taire (°C)</c:v>
                </c:pt>
                <c:pt idx="2">
                  <c:v>Calibración termómetro</c:v>
                </c:pt>
                <c:pt idx="3">
                  <c:v>resolución termómetro</c:v>
                </c:pt>
                <c:pt idx="4">
                  <c:v>Deriva del termómetro</c:v>
                </c:pt>
                <c:pt idx="5">
                  <c:v>Humedad (% hr)</c:v>
                </c:pt>
                <c:pt idx="6">
                  <c:v>Calibración higrómetro</c:v>
                </c:pt>
                <c:pt idx="7">
                  <c:v>resolución higrómetro</c:v>
                </c:pt>
                <c:pt idx="8">
                  <c:v>Deriva del higrómetro</c:v>
                </c:pt>
                <c:pt idx="9">
                  <c:v>Presión (hPa)</c:v>
                </c:pt>
                <c:pt idx="10">
                  <c:v>Calibración barómetro</c:v>
                </c:pt>
                <c:pt idx="11">
                  <c:v>resolución barómetro</c:v>
                </c:pt>
                <c:pt idx="12">
                  <c:v>Deriva del barómetro</c:v>
                </c:pt>
              </c:strCache>
            </c:strRef>
          </c:cat>
          <c:val>
            <c:numRef>
              <c:f>'RT03-F52 ¬ '!$P$112:$P$124</c:f>
              <c:numCache>
                <c:formatCode>General</c:formatCode>
                <c:ptCount val="13"/>
                <c:pt idx="0" formatCode="0%">
                  <c:v>#N/A</c:v>
                </c:pt>
                <c:pt idx="2" formatCode="0%">
                  <c:v>#N/A</c:v>
                </c:pt>
                <c:pt idx="3" formatCode="0%">
                  <c:v>#N/A</c:v>
                </c:pt>
                <c:pt idx="4" formatCode="0.00%">
                  <c:v>#N/A</c:v>
                </c:pt>
                <c:pt idx="6" formatCode="0%">
                  <c:v>#N/A</c:v>
                </c:pt>
                <c:pt idx="7" formatCode="0.0000%">
                  <c:v>#N/A</c:v>
                </c:pt>
                <c:pt idx="8" formatCode="0.00%">
                  <c:v>#N/A</c:v>
                </c:pt>
                <c:pt idx="10" formatCode="0%">
                  <c:v>#N/A</c:v>
                </c:pt>
                <c:pt idx="11" formatCode="0.00%">
                  <c:v>#N/A</c:v>
                </c:pt>
                <c:pt idx="12" formatCode="0.00%">
                  <c:v>#N/A</c:v>
                </c:pt>
              </c:numCache>
            </c:numRef>
          </c:val>
          <c:extLst xmlns:c16r2="http://schemas.microsoft.com/office/drawing/2015/06/chart">
            <c:ext xmlns:c16="http://schemas.microsoft.com/office/drawing/2014/chart" uri="{C3380CC4-5D6E-409C-BE32-E72D297353CC}">
              <c16:uniqueId val="{00000000-EB42-4E90-9713-70AD568EDE58}"/>
            </c:ext>
          </c:extLst>
        </c:ser>
        <c:dLbls>
          <c:dLblPos val="inEnd"/>
          <c:showLegendKey val="0"/>
          <c:showVal val="1"/>
          <c:showCatName val="0"/>
          <c:showSerName val="0"/>
          <c:showPercent val="0"/>
          <c:showBubbleSize val="0"/>
        </c:dLbls>
        <c:gapWidth val="65"/>
        <c:axId val="415527976"/>
        <c:axId val="415524840"/>
      </c:barChart>
      <c:catAx>
        <c:axId val="4155279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5524840"/>
        <c:crosses val="autoZero"/>
        <c:auto val="1"/>
        <c:lblAlgn val="ctr"/>
        <c:lblOffset val="100"/>
        <c:noMultiLvlLbl val="0"/>
      </c:catAx>
      <c:valAx>
        <c:axId val="4155248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155279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'!$P$134</c:f>
              <c:strCache>
                <c:ptCount val="1"/>
                <c:pt idx="0">
                  <c:v>Aporte a la Incertidumbre (agua)</c:v>
                </c:pt>
              </c:strCache>
            </c:strRef>
          </c:tx>
          <c:spPr>
            <a:solidFill>
              <a:schemeClr val="accent1">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'!$A$136:$A$146</c:f>
              <c:strCache>
                <c:ptCount val="11"/>
                <c:pt idx="0">
                  <c:v>Expansión del agua</c:v>
                </c:pt>
                <c:pt idx="1">
                  <c:v>Composición isotópica</c:v>
                </c:pt>
                <c:pt idx="2">
                  <c:v>Ecuación</c:v>
                </c:pt>
                <c:pt idx="3">
                  <c:v>Tagua (°C)</c:v>
                </c:pt>
                <c:pt idx="4">
                  <c:v>Calibración termómetro</c:v>
                </c:pt>
                <c:pt idx="5">
                  <c:v>Resolución termómetro</c:v>
                </c:pt>
                <c:pt idx="6">
                  <c:v>Deriva del termómetro</c:v>
                </c:pt>
                <c:pt idx="7">
                  <c:v>Presión (hPa)</c:v>
                </c:pt>
                <c:pt idx="8">
                  <c:v>Calibración barómetro</c:v>
                </c:pt>
                <c:pt idx="9">
                  <c:v>Resolución barómetro</c:v>
                </c:pt>
                <c:pt idx="10">
                  <c:v>Deriva del barómetro</c:v>
                </c:pt>
              </c:strCache>
            </c:strRef>
          </c:cat>
          <c:val>
            <c:numRef>
              <c:f>'RT03-F52 ¬ '!$P$136:$P$146</c:f>
              <c:numCache>
                <c:formatCode>0%</c:formatCode>
                <c:ptCount val="11"/>
                <c:pt idx="0">
                  <c:v>0</c:v>
                </c:pt>
                <c:pt idx="1">
                  <c:v>#N/A</c:v>
                </c:pt>
                <c:pt idx="2" formatCode="0.0%">
                  <c:v>#N/A</c:v>
                </c:pt>
                <c:pt idx="4">
                  <c:v>0</c:v>
                </c:pt>
                <c:pt idx="5" formatCode="0.0000%">
                  <c:v>0</c:v>
                </c:pt>
                <c:pt idx="6" formatCode="0.000%">
                  <c:v>0</c:v>
                </c:pt>
                <c:pt idx="8" formatCode="0.000000%">
                  <c:v>#N/A</c:v>
                </c:pt>
                <c:pt idx="9" formatCode="0.0000000%">
                  <c:v>#N/A</c:v>
                </c:pt>
                <c:pt idx="10" formatCode="0.00%">
                  <c:v>0</c:v>
                </c:pt>
              </c:numCache>
            </c:numRef>
          </c:val>
          <c:extLst xmlns:c16r2="http://schemas.microsoft.com/office/drawing/2015/06/chart">
            <c:ext xmlns:c16="http://schemas.microsoft.com/office/drawing/2014/chart" uri="{C3380CC4-5D6E-409C-BE32-E72D297353CC}">
              <c16:uniqueId val="{00000000-DF9D-473E-B293-74797CA18188}"/>
            </c:ext>
          </c:extLst>
        </c:ser>
        <c:dLbls>
          <c:dLblPos val="inEnd"/>
          <c:showLegendKey val="0"/>
          <c:showVal val="1"/>
          <c:showCatName val="0"/>
          <c:showSerName val="0"/>
          <c:showPercent val="0"/>
          <c:showBubbleSize val="0"/>
        </c:dLbls>
        <c:gapWidth val="65"/>
        <c:axId val="415523664"/>
        <c:axId val="415524448"/>
      </c:barChart>
      <c:catAx>
        <c:axId val="4155236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5524448"/>
        <c:crosses val="autoZero"/>
        <c:auto val="1"/>
        <c:lblAlgn val="ctr"/>
        <c:lblOffset val="100"/>
        <c:noMultiLvlLbl val="0"/>
      </c:catAx>
      <c:valAx>
        <c:axId val="4155244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155236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'!$R$153</c:f>
              <c:strCache>
                <c:ptCount val="1"/>
                <c:pt idx="0">
                  <c:v>Aporte a la Incertidumbre (volumen)</c:v>
                </c:pt>
              </c:strCache>
            </c:strRef>
          </c:tx>
          <c:spPr>
            <a:solidFill>
              <a:schemeClr val="accent1">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'!$A$156:$A$182</c:f>
              <c:strCache>
                <c:ptCount val="27"/>
                <c:pt idx="0">
                  <c:v>Resolución balanza, g</c:v>
                </c:pt>
                <c:pt idx="1">
                  <c:v>Calibración, g</c:v>
                </c:pt>
                <c:pt idx="2">
                  <c:v>Excentricidad, g</c:v>
                </c:pt>
                <c:pt idx="3">
                  <c:v>Deriva,g</c:v>
                </c:pt>
                <c:pt idx="4">
                  <c:v>Lectura recipiente vacío g</c:v>
                </c:pt>
                <c:pt idx="5">
                  <c:v>Resolución, g</c:v>
                </c:pt>
                <c:pt idx="6">
                  <c:v>Calibración, g</c:v>
                </c:pt>
                <c:pt idx="7">
                  <c:v>Excentricidad, g</c:v>
                </c:pt>
                <c:pt idx="8">
                  <c:v>Incertidumbre del método</c:v>
                </c:pt>
                <c:pt idx="9">
                  <c:v>Densidad del aire (g/cm3)</c:v>
                </c:pt>
                <c:pt idx="10">
                  <c:v>CIPM Versión Exponencial 2007</c:v>
                </c:pt>
                <c:pt idx="11">
                  <c:v>Densidad del agua [g/cm³]</c:v>
                </c:pt>
                <c:pt idx="12">
                  <c:v>Tanaka</c:v>
                </c:pt>
                <c:pt idx="13">
                  <c:v>Den. Masas [g/cm³]</c:v>
                </c:pt>
                <c:pt idx="14">
                  <c:v>OIML R 111-1</c:v>
                </c:pt>
                <c:pt idx="15">
                  <c:v>Coef. Cúbico de exp. [1/°C]</c:v>
                </c:pt>
                <c:pt idx="16">
                  <c:v>Coeficiente expansión Térmica del material</c:v>
                </c:pt>
                <c:pt idx="17">
                  <c:v>Temperatura del agua [°C]</c:v>
                </c:pt>
                <c:pt idx="18">
                  <c:v>Resolución termómetro, ºC</c:v>
                </c:pt>
                <c:pt idx="19">
                  <c:v>Calibración termómetro, ºC</c:v>
                </c:pt>
                <c:pt idx="20">
                  <c:v>Deriva termómetro, ºC</c:v>
                </c:pt>
                <c:pt idx="21">
                  <c:v>Gradiente en la medición de la temperatura</c:v>
                </c:pt>
                <c:pt idx="22">
                  <c:v>Gradiente entre Tagua y T aire, ºC</c:v>
                </c:pt>
                <c:pt idx="23">
                  <c:v>Repetibilidad</c:v>
                </c:pt>
                <c:pt idx="24">
                  <c:v>Ajuste menisco (Efecto operador)</c:v>
                </c:pt>
                <c:pt idx="25">
                  <c:v>Ajuste menisco (Efecto operador)</c:v>
                </c:pt>
                <c:pt idx="26">
                  <c:v>Evaporación</c:v>
                </c:pt>
              </c:strCache>
            </c:strRef>
          </c:cat>
          <c:val>
            <c:numRef>
              <c:f>'RT03-F52 ¬ '!$R$156:$R$182</c:f>
              <c:numCache>
                <c:formatCode>0.000%</c:formatCode>
                <c:ptCount val="27"/>
                <c:pt idx="0">
                  <c:v>#N/A</c:v>
                </c:pt>
                <c:pt idx="1">
                  <c:v>#N/A</c:v>
                </c:pt>
                <c:pt idx="2">
                  <c:v>#N/A</c:v>
                </c:pt>
                <c:pt idx="3">
                  <c:v>#N/A</c:v>
                </c:pt>
                <c:pt idx="5">
                  <c:v>#N/A</c:v>
                </c:pt>
                <c:pt idx="6">
                  <c:v>#N/A</c:v>
                </c:pt>
                <c:pt idx="7">
                  <c:v>#N/A</c:v>
                </c:pt>
                <c:pt idx="8">
                  <c:v>#N/A</c:v>
                </c:pt>
                <c:pt idx="10">
                  <c:v>#N/A</c:v>
                </c:pt>
                <c:pt idx="12">
                  <c:v>0</c:v>
                </c:pt>
                <c:pt idx="14">
                  <c:v>#N/A</c:v>
                </c:pt>
                <c:pt idx="16">
                  <c:v>#N/A</c:v>
                </c:pt>
                <c:pt idx="18">
                  <c:v>#N/A</c:v>
                </c:pt>
                <c:pt idx="19">
                  <c:v>#N/A</c:v>
                </c:pt>
                <c:pt idx="20">
                  <c:v>#N/A</c:v>
                </c:pt>
                <c:pt idx="21">
                  <c:v>#N/A</c:v>
                </c:pt>
                <c:pt idx="22" formatCode="0.00%">
                  <c:v>#N/A</c:v>
                </c:pt>
                <c:pt idx="23" formatCode="0.0%">
                  <c:v>#N/A</c:v>
                </c:pt>
                <c:pt idx="24" formatCode="0.0%">
                  <c:v>#N/A</c:v>
                </c:pt>
                <c:pt idx="25">
                  <c:v>#N/A</c:v>
                </c:pt>
                <c:pt idx="26" formatCode="0.0%">
                  <c:v>#N/A</c:v>
                </c:pt>
              </c:numCache>
            </c:numRef>
          </c:val>
          <c:extLst xmlns:c16r2="http://schemas.microsoft.com/office/drawing/2015/06/chart">
            <c:ext xmlns:c16="http://schemas.microsoft.com/office/drawing/2014/chart" uri="{C3380CC4-5D6E-409C-BE32-E72D297353CC}">
              <c16:uniqueId val="{00000000-455A-41E6-B9EB-9E9274A2A157}"/>
            </c:ext>
          </c:extLst>
        </c:ser>
        <c:dLbls>
          <c:dLblPos val="inEnd"/>
          <c:showLegendKey val="0"/>
          <c:showVal val="1"/>
          <c:showCatName val="0"/>
          <c:showSerName val="0"/>
          <c:showPercent val="0"/>
          <c:showBubbleSize val="0"/>
        </c:dLbls>
        <c:gapWidth val="65"/>
        <c:axId val="415526800"/>
        <c:axId val="415527192"/>
      </c:barChart>
      <c:catAx>
        <c:axId val="4155268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5527192"/>
        <c:crosses val="autoZero"/>
        <c:auto val="1"/>
        <c:lblAlgn val="ctr"/>
        <c:lblOffset val="100"/>
        <c:noMultiLvlLbl val="0"/>
      </c:catAx>
      <c:valAx>
        <c:axId val="4155271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0%" sourceLinked="1"/>
        <c:majorTickMark val="none"/>
        <c:minorTickMark val="none"/>
        <c:tickLblPos val="nextTo"/>
        <c:crossAx val="4155268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s-CO"/>
              <a:t>volumen después de ajuste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lineChart>
        <c:grouping val="standard"/>
        <c:varyColors val="0"/>
        <c:ser>
          <c:idx val="0"/>
          <c:order val="0"/>
          <c:tx>
            <c:strRef>
              <c:f>'PC ¬'!$B$3</c:f>
              <c:strCache>
                <c:ptCount val="1"/>
                <c:pt idx="0">
                  <c:v>TU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¬'!$B$4:$B$8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029-4302-9429-EE7D023AB42B}"/>
            </c:ext>
          </c:extLst>
        </c:ser>
        <c:ser>
          <c:idx val="1"/>
          <c:order val="1"/>
          <c:tx>
            <c:strRef>
              <c:f>'PC ¬'!$C$3</c:f>
              <c:strCache>
                <c:ptCount val="1"/>
                <c:pt idx="0">
                  <c:v>TL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¬'!$C$4:$C$8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029-4302-9429-EE7D023AB42B}"/>
            </c:ext>
          </c:extLst>
        </c:ser>
        <c:ser>
          <c:idx val="2"/>
          <c:order val="2"/>
          <c:tx>
            <c:strRef>
              <c:f>'PC ¬'!$D$3</c:f>
              <c:strCache>
                <c:ptCount val="1"/>
                <c:pt idx="0">
                  <c:v>Volumen nominal</c:v>
                </c:pt>
              </c:strCache>
            </c:strRef>
          </c:tx>
          <c:spPr>
            <a:ln w="19050" cap="rnd">
              <a:solidFill>
                <a:srgbClr val="00B05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¬'!$D$4:$D$8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1029-4302-9429-EE7D023AB42B}"/>
            </c:ext>
          </c:extLst>
        </c:ser>
        <c:ser>
          <c:idx val="3"/>
          <c:order val="3"/>
          <c:tx>
            <c:strRef>
              <c:f>'PC ¬'!$E$3</c:f>
              <c:strCache>
                <c:ptCount val="1"/>
                <c:pt idx="0">
                  <c:v>Error indicación (mL)</c:v>
                </c:pt>
              </c:strCache>
            </c:strRef>
          </c:tx>
          <c:spPr>
            <a:ln w="1905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'PC ¬'!$F$6:$F$8</c:f>
                <c:numCache>
                  <c:formatCode>General</c:formatCode>
                  <c:ptCount val="3"/>
                  <c:pt idx="0">
                    <c:v>#N/A</c:v>
                  </c:pt>
                </c:numCache>
              </c:numRef>
            </c:plus>
            <c:minus>
              <c:numRef>
                <c:f>'PC ¬'!$F$6:$F$8</c:f>
                <c:numCache>
                  <c:formatCode>General</c:formatCode>
                  <c:ptCount val="3"/>
                  <c:pt idx="0">
                    <c:v>#N/A</c:v>
                  </c:pt>
                </c:numCache>
              </c:numRef>
            </c:minus>
            <c:spPr>
              <a:noFill/>
              <a:ln w="9525" cap="flat" cmpd="sng" algn="ctr">
                <a:solidFill>
                  <a:schemeClr val="tx1">
                    <a:lumMod val="65000"/>
                    <a:lumOff val="35000"/>
                  </a:schemeClr>
                </a:solidFill>
                <a:round/>
              </a:ln>
              <a:effectLst/>
            </c:spPr>
          </c:errBars>
          <c:cat>
            <c:strRef>
              <c:f>'PC ¬'!$A$4:$A$8</c:f>
              <c:strCache>
                <c:ptCount val="5"/>
                <c:pt idx="0">
                  <c:v>1</c:v>
                </c:pt>
                <c:pt idx="1">
                  <c:v>Antes de ajuste</c:v>
                </c:pt>
                <c:pt idx="2">
                  <c:v>Después de ajuste</c:v>
                </c:pt>
                <c:pt idx="3">
                  <c:v>3</c:v>
                </c:pt>
                <c:pt idx="4">
                  <c:v>4</c:v>
                </c:pt>
              </c:strCache>
            </c:strRef>
          </c:cat>
          <c:val>
            <c:numRef>
              <c:f>'PC ¬'!$E$6:$E$8</c:f>
              <c:numCache>
                <c:formatCode>General</c:formatCode>
                <c:ptCount val="3"/>
                <c:pt idx="0" formatCode="0.00">
                  <c:v>#N/A</c:v>
                </c:pt>
              </c:numCache>
            </c:numRef>
          </c:val>
          <c:smooth val="0"/>
          <c:extLst xmlns:c16r2="http://schemas.microsoft.com/office/drawing/2015/06/chart">
            <c:ext xmlns:c16="http://schemas.microsoft.com/office/drawing/2014/chart" uri="{C3380CC4-5D6E-409C-BE32-E72D297353CC}">
              <c16:uniqueId val="{00000003-1029-4302-9429-EE7D023AB42B}"/>
            </c:ext>
          </c:extLst>
        </c:ser>
        <c:dLbls>
          <c:showLegendKey val="0"/>
          <c:showVal val="0"/>
          <c:showCatName val="0"/>
          <c:showSerName val="0"/>
          <c:showPercent val="0"/>
          <c:showBubbleSize val="0"/>
        </c:dLbls>
        <c:smooth val="0"/>
        <c:axId val="415529152"/>
        <c:axId val="415528760"/>
      </c:lineChart>
      <c:catAx>
        <c:axId val="415529152"/>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415528760"/>
        <c:crosses val="autoZero"/>
        <c:auto val="1"/>
        <c:lblAlgn val="ctr"/>
        <c:lblOffset val="100"/>
        <c:noMultiLvlLbl val="0"/>
      </c:catAx>
      <c:valAx>
        <c:axId val="415528760"/>
        <c:scaling>
          <c:orientation val="minMax"/>
          <c:min val="-15.01"/>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155291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schemeClr>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r>
              <a:rPr lang="es-CO" b="1"/>
              <a:t>Probabilidad de Conformidad y no Conformidad</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endParaRPr lang="es-CO"/>
        </a:p>
      </c:txPr>
    </c:title>
    <c:autoTitleDeleted val="0"/>
    <c:plotArea>
      <c:layout/>
      <c:lineChart>
        <c:grouping val="standard"/>
        <c:varyColors val="0"/>
        <c:ser>
          <c:idx val="0"/>
          <c:order val="0"/>
          <c:tx>
            <c:strRef>
              <c:f>'PC ¬'!$B$3</c:f>
              <c:strCache>
                <c:ptCount val="1"/>
                <c:pt idx="0">
                  <c:v>TU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¬'!$B$4:$B$8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5D4D-430A-A051-3B66F6A66033}"/>
            </c:ext>
          </c:extLst>
        </c:ser>
        <c:ser>
          <c:idx val="1"/>
          <c:order val="1"/>
          <c:tx>
            <c:strRef>
              <c:f>'PC ¬'!$C$3</c:f>
              <c:strCache>
                <c:ptCount val="1"/>
                <c:pt idx="0">
                  <c:v>TL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¬'!$C$4:$C$8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D4D-430A-A051-3B66F6A66033}"/>
            </c:ext>
          </c:extLst>
        </c:ser>
        <c:ser>
          <c:idx val="2"/>
          <c:order val="2"/>
          <c:tx>
            <c:strRef>
              <c:f>'PC ¬'!$D$3</c:f>
              <c:strCache>
                <c:ptCount val="1"/>
                <c:pt idx="0">
                  <c:v>Volumen nominal</c:v>
                </c:pt>
              </c:strCache>
            </c:strRef>
          </c:tx>
          <c:spPr>
            <a:ln w="19050" cap="rnd">
              <a:solidFill>
                <a:srgbClr val="00B05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¬'!$D$4:$D$8</c:f>
              <c:numCache>
                <c:formatCode>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5D4D-430A-A051-3B66F6A66033}"/>
            </c:ext>
          </c:extLst>
        </c:ser>
        <c:ser>
          <c:idx val="3"/>
          <c:order val="3"/>
          <c:tx>
            <c:strRef>
              <c:f>'PC ¬'!$E$3</c:f>
              <c:strCache>
                <c:ptCount val="1"/>
                <c:pt idx="0">
                  <c:v>Error indicación (mL)</c:v>
                </c:pt>
              </c:strCache>
            </c:strRef>
          </c:tx>
          <c:spPr>
            <a:ln w="1905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'PC ¬'!$F$4:$F$8</c:f>
                <c:numCache>
                  <c:formatCode>General</c:formatCode>
                  <c:ptCount val="5"/>
                  <c:pt idx="1">
                    <c:v>#N/A</c:v>
                  </c:pt>
                  <c:pt idx="2">
                    <c:v>#N/A</c:v>
                  </c:pt>
                </c:numCache>
              </c:numRef>
            </c:plus>
            <c:minus>
              <c:numRef>
                <c:f>'PC ¬'!$F$4:$F$8</c:f>
                <c:numCache>
                  <c:formatCode>General</c:formatCode>
                  <c:ptCount val="5"/>
                  <c:pt idx="1">
                    <c:v>#N/A</c:v>
                  </c:pt>
                  <c:pt idx="2">
                    <c:v>#N/A</c:v>
                  </c:pt>
                </c:numCache>
              </c:numRef>
            </c:minus>
            <c:spPr>
              <a:noFill/>
              <a:ln w="9525" cap="flat" cmpd="sng" algn="ctr">
                <a:solidFill>
                  <a:schemeClr val="tx1">
                    <a:lumMod val="65000"/>
                    <a:lumOff val="35000"/>
                  </a:schemeClr>
                </a:solidFill>
                <a:round/>
              </a:ln>
              <a:effectLst/>
            </c:spPr>
          </c:errBars>
          <c:cat>
            <c:strRef>
              <c:f>'PC ¬'!$A$4:$A$8</c:f>
              <c:strCache>
                <c:ptCount val="5"/>
                <c:pt idx="0">
                  <c:v>1</c:v>
                </c:pt>
                <c:pt idx="1">
                  <c:v>Antes de ajuste</c:v>
                </c:pt>
                <c:pt idx="2">
                  <c:v>Después de ajuste</c:v>
                </c:pt>
                <c:pt idx="3">
                  <c:v>3</c:v>
                </c:pt>
                <c:pt idx="4">
                  <c:v>4</c:v>
                </c:pt>
              </c:strCache>
            </c:strRef>
          </c:cat>
          <c:val>
            <c:numRef>
              <c:f>'PC ¬'!$E$4:$E$8</c:f>
              <c:numCache>
                <c:formatCode>0.00</c:formatCode>
                <c:ptCount val="5"/>
                <c:pt idx="1">
                  <c:v>#N/A</c:v>
                </c:pt>
                <c:pt idx="2">
                  <c:v>#N/A</c:v>
                </c:pt>
              </c:numCache>
            </c:numRef>
          </c:val>
          <c:smooth val="0"/>
          <c:extLst xmlns:c16r2="http://schemas.microsoft.com/office/drawing/2015/06/chart">
            <c:ext xmlns:c16="http://schemas.microsoft.com/office/drawing/2014/chart" uri="{C3380CC4-5D6E-409C-BE32-E72D297353CC}">
              <c16:uniqueId val="{00000003-5D4D-430A-A051-3B66F6A66033}"/>
            </c:ext>
          </c:extLst>
        </c:ser>
        <c:dLbls>
          <c:showLegendKey val="0"/>
          <c:showVal val="0"/>
          <c:showCatName val="0"/>
          <c:showSerName val="0"/>
          <c:showPercent val="0"/>
          <c:showBubbleSize val="0"/>
        </c:dLbls>
        <c:smooth val="0"/>
        <c:axId val="416637568"/>
        <c:axId val="416639136"/>
      </c:lineChart>
      <c:catAx>
        <c:axId val="4166375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16639136"/>
        <c:crosses val="autoZero"/>
        <c:auto val="1"/>
        <c:lblAlgn val="ctr"/>
        <c:lblOffset val="100"/>
        <c:noMultiLvlLbl val="0"/>
      </c:catAx>
      <c:valAx>
        <c:axId val="416639136"/>
        <c:scaling>
          <c:orientation val="minMax"/>
          <c:min val="-15.0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166375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dk1"/>
                </a:solidFill>
                <a:latin typeface="+mn-lt"/>
                <a:ea typeface="+mn-ea"/>
                <a:cs typeface="+mn-cs"/>
              </a:defRPr>
            </a:pPr>
            <a:endParaRPr lang="es-CO"/>
          </a:p>
        </c:txPr>
      </c:dTable>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schemeClr>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¬'!$A$79</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¬'!$F$79:$F$81</c:f>
              <c:numCache>
                <c:formatCode>General</c:formatCode>
                <c:ptCount val="3"/>
                <c:pt idx="0">
                  <c:v>18</c:v>
                </c:pt>
                <c:pt idx="1">
                  <c:v>21.1</c:v>
                </c:pt>
                <c:pt idx="2" formatCode="0.0">
                  <c:v>24</c:v>
                </c:pt>
              </c:numCache>
            </c:numRef>
          </c:xVal>
          <c:yVal>
            <c:numRef>
              <c:f>'DATOS ¬'!$H$79:$H$81</c:f>
              <c:numCache>
                <c:formatCode>0.0</c:formatCode>
                <c:ptCount val="3"/>
                <c:pt idx="0">
                  <c:v>0</c:v>
                </c:pt>
                <c:pt idx="1">
                  <c:v>-0.1</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71148568"/>
        <c:axId val="409500672"/>
      </c:scatterChart>
      <c:valAx>
        <c:axId val="2711485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9500672"/>
        <c:crosses val="autoZero"/>
        <c:crossBetween val="midCat"/>
      </c:valAx>
      <c:valAx>
        <c:axId val="4095006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711485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¬'!$A$82</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¬'!$F$82:$F$84</c:f>
              <c:numCache>
                <c:formatCode>General</c:formatCode>
                <c:ptCount val="3"/>
                <c:pt idx="0">
                  <c:v>33.6</c:v>
                </c:pt>
                <c:pt idx="1">
                  <c:v>55.8</c:v>
                </c:pt>
                <c:pt idx="2">
                  <c:v>78.400000000000006</c:v>
                </c:pt>
              </c:numCache>
            </c:numRef>
          </c:xVal>
          <c:yVal>
            <c:numRef>
              <c:f>'DATOS ¬'!$H$82:$H$84</c:f>
              <c:numCache>
                <c:formatCode>General</c:formatCode>
                <c:ptCount val="3"/>
                <c:pt idx="0">
                  <c:v>-3.6</c:v>
                </c:pt>
                <c:pt idx="1">
                  <c:v>-0.8</c:v>
                </c:pt>
                <c:pt idx="2">
                  <c:v>2.5</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409501848"/>
        <c:axId val="409497144"/>
      </c:scatterChart>
      <c:valAx>
        <c:axId val="4095018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9497144"/>
        <c:crosses val="autoZero"/>
        <c:crossBetween val="midCat"/>
      </c:valAx>
      <c:valAx>
        <c:axId val="4094971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95018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¬'!$A$85</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¬'!$F$85:$F$87</c:f>
              <c:numCache>
                <c:formatCode>0.000</c:formatCode>
                <c:ptCount val="3"/>
                <c:pt idx="0" formatCode="General">
                  <c:v>499.79599999999999</c:v>
                </c:pt>
                <c:pt idx="1">
                  <c:v>752.29499999999996</c:v>
                </c:pt>
                <c:pt idx="2">
                  <c:v>949.69299999999998</c:v>
                </c:pt>
              </c:numCache>
            </c:numRef>
          </c:xVal>
          <c:yVal>
            <c:numRef>
              <c:f>'DATOS ¬'!$H$85:$H$87</c:f>
              <c:numCache>
                <c:formatCode>0.00</c:formatCode>
                <c:ptCount val="3"/>
                <c:pt idx="0" formatCode="General">
                  <c:v>1.548</c:v>
                </c:pt>
                <c:pt idx="1">
                  <c:v>1.0489999999999999</c:v>
                </c:pt>
                <c:pt idx="2" formatCode="General">
                  <c:v>0.82299999999999995</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409502632"/>
        <c:axId val="409497928"/>
      </c:scatterChart>
      <c:valAx>
        <c:axId val="4095026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9497928"/>
        <c:crosses val="autoZero"/>
        <c:crossBetween val="midCat"/>
      </c:valAx>
      <c:valAx>
        <c:axId val="4094979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95026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0.0</c:formatCode>
                <c:ptCount val="3"/>
                <c:pt idx="0" formatCode="General">
                  <c:v>10.3</c:v>
                </c:pt>
                <c:pt idx="1">
                  <c:v>20</c:v>
                </c:pt>
                <c:pt idx="2">
                  <c:v>39.200000000000003</c:v>
                </c:pt>
              </c:numCache>
            </c:numRef>
          </c:xVal>
          <c:yVal>
            <c:numRef>
              <c:f>'DATOS ¬'!$H$90:$H$92</c:f>
              <c:numCache>
                <c:formatCode>0.0</c:formatCode>
                <c:ptCount val="3"/>
                <c:pt idx="0">
                  <c:v>0</c:v>
                </c:pt>
                <c:pt idx="1">
                  <c:v>0.1</c:v>
                </c:pt>
                <c:pt idx="2">
                  <c:v>0.3</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409504200"/>
        <c:axId val="409498320"/>
      </c:scatterChart>
      <c:valAx>
        <c:axId val="4095042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9498320"/>
        <c:crosses val="autoZero"/>
        <c:crossBetween val="midCat"/>
      </c:valAx>
      <c:valAx>
        <c:axId val="4094983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95042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33.299999999999997</c:v>
                </c:pt>
                <c:pt idx="1">
                  <c:v>51.3</c:v>
                </c:pt>
                <c:pt idx="2">
                  <c:v>77.5</c:v>
                </c:pt>
              </c:numCache>
            </c:numRef>
          </c:xVal>
          <c:yVal>
            <c:numRef>
              <c:f>'DATOS ¬'!$H$93:$H$95</c:f>
              <c:numCache>
                <c:formatCode>General</c:formatCode>
                <c:ptCount val="3"/>
                <c:pt idx="0">
                  <c:v>-3.3</c:v>
                </c:pt>
                <c:pt idx="1">
                  <c:v>-1.4</c:v>
                </c:pt>
                <c:pt idx="2">
                  <c:v>2.5</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409503024"/>
        <c:axId val="409500280"/>
      </c:scatterChart>
      <c:valAx>
        <c:axId val="4095030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9500280"/>
        <c:crosses val="autoZero"/>
        <c:crossBetween val="midCat"/>
      </c:valAx>
      <c:valAx>
        <c:axId val="409500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95030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00">
                  <c:v>499.02600000000001</c:v>
                </c:pt>
                <c:pt idx="1">
                  <c:v>752.18100000000004</c:v>
                </c:pt>
                <c:pt idx="2" formatCode="0.000">
                  <c:v>900.66499999999996</c:v>
                </c:pt>
              </c:numCache>
            </c:numRef>
          </c:xVal>
          <c:yVal>
            <c:numRef>
              <c:f>'DATOS ¬'!$H$96:$H$98</c:f>
              <c:numCache>
                <c:formatCode>0.000</c:formatCode>
                <c:ptCount val="3"/>
                <c:pt idx="0" formatCode="General">
                  <c:v>1.573</c:v>
                </c:pt>
                <c:pt idx="1">
                  <c:v>1.0469999999999999</c:v>
                </c:pt>
                <c:pt idx="2" formatCode="General">
                  <c:v>0.73699999999999999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409503808"/>
        <c:axId val="409496752"/>
      </c:scatterChart>
      <c:valAx>
        <c:axId val="4095038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9496752"/>
        <c:crosses val="autoZero"/>
        <c:crossBetween val="midCat"/>
      </c:valAx>
      <c:valAx>
        <c:axId val="4094967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95038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image" Target="../media/image1.png"/><Relationship Id="rId3" Type="http://schemas.openxmlformats.org/officeDocument/2006/relationships/chart" Target="../charts/chart3.xml"/><Relationship Id="rId21" Type="http://schemas.openxmlformats.org/officeDocument/2006/relationships/chart" Target="../charts/chart2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1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24.xml"/><Relationship Id="rId7" Type="http://schemas.openxmlformats.org/officeDocument/2006/relationships/chart" Target="../charts/chart26.xml"/><Relationship Id="rId2" Type="http://schemas.openxmlformats.org/officeDocument/2006/relationships/chart" Target="../charts/chart23.xml"/><Relationship Id="rId1" Type="http://schemas.openxmlformats.org/officeDocument/2006/relationships/chart" Target="../charts/chart22.xml"/><Relationship Id="rId6" Type="http://schemas.microsoft.com/office/2007/relationships/hdphoto" Target="../media/hdphoto1.wdp"/><Relationship Id="rId5" Type="http://schemas.openxmlformats.org/officeDocument/2006/relationships/image" Target="../media/image2.png"/><Relationship Id="rId10" Type="http://schemas.openxmlformats.org/officeDocument/2006/relationships/image" Target="../media/image3.png"/><Relationship Id="rId4" Type="http://schemas.openxmlformats.org/officeDocument/2006/relationships/chart" Target="../charts/chart25.xml"/><Relationship Id="rId9"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0.xml"/><Relationship Id="rId7" Type="http://schemas.openxmlformats.org/officeDocument/2006/relationships/chart" Target="../charts/chart32.xml"/><Relationship Id="rId2" Type="http://schemas.openxmlformats.org/officeDocument/2006/relationships/chart" Target="../charts/chart29.xml"/><Relationship Id="rId1" Type="http://schemas.openxmlformats.org/officeDocument/2006/relationships/chart" Target="../charts/chart28.xml"/><Relationship Id="rId6" Type="http://schemas.microsoft.com/office/2007/relationships/hdphoto" Target="../media/hdphoto1.wdp"/><Relationship Id="rId5" Type="http://schemas.openxmlformats.org/officeDocument/2006/relationships/image" Target="../media/image4.png"/><Relationship Id="rId4" Type="http://schemas.openxmlformats.org/officeDocument/2006/relationships/chart" Target="../charts/chart31.xml"/><Relationship Id="rId9"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6.png"/><Relationship Id="rId7" Type="http://schemas.openxmlformats.org/officeDocument/2006/relationships/chart" Target="../charts/chart34.xml"/><Relationship Id="rId2" Type="http://schemas.microsoft.com/office/2007/relationships/hdphoto" Target="../media/hdphoto2.wdp"/><Relationship Id="rId1" Type="http://schemas.openxmlformats.org/officeDocument/2006/relationships/image" Target="../media/image5.png"/><Relationship Id="rId6" Type="http://schemas.microsoft.com/office/2007/relationships/hdphoto" Target="../media/hdphoto4.wdp"/><Relationship Id="rId5" Type="http://schemas.openxmlformats.org/officeDocument/2006/relationships/image" Target="../media/image7.png"/><Relationship Id="rId4" Type="http://schemas.microsoft.com/office/2007/relationships/hdphoto" Target="../media/hdphoto3.wdp"/></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microsoft.com/office/2007/relationships/hdphoto" Target="../media/hdphoto5.wdp"/><Relationship Id="rId2" Type="http://schemas.openxmlformats.org/officeDocument/2006/relationships/image" Target="../media/image10.png"/><Relationship Id="rId1" Type="http://schemas.openxmlformats.org/officeDocument/2006/relationships/image" Target="../media/image9.png"/><Relationship Id="rId5" Type="http://schemas.microsoft.com/office/2007/relationships/hdphoto" Target="../media/hdphoto6.wdp"/><Relationship Id="rId4" Type="http://schemas.openxmlformats.org/officeDocument/2006/relationships/image" Target="../media/image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14</xdr:col>
      <xdr:colOff>88447</xdr:colOff>
      <xdr:row>71</xdr:row>
      <xdr:rowOff>222250</xdr:rowOff>
    </xdr:from>
    <xdr:to>
      <xdr:col>15</xdr:col>
      <xdr:colOff>1016000</xdr:colOff>
      <xdr:row>75</xdr:row>
      <xdr:rowOff>63500</xdr:rowOff>
    </xdr:to>
    <xdr:graphicFrame macro="">
      <xdr:nvGraphicFramePr>
        <xdr:cNvPr id="4" name="Gráfico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24947</xdr:colOff>
      <xdr:row>71</xdr:row>
      <xdr:rowOff>222250</xdr:rowOff>
    </xdr:from>
    <xdr:to>
      <xdr:col>17</xdr:col>
      <xdr:colOff>889000</xdr:colOff>
      <xdr:row>75</xdr:row>
      <xdr:rowOff>15875</xdr:rowOff>
    </xdr:to>
    <xdr:graphicFrame macro="">
      <xdr:nvGraphicFramePr>
        <xdr:cNvPr id="6" name="Gráfico 5">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1090840</xdr:colOff>
      <xdr:row>71</xdr:row>
      <xdr:rowOff>238125</xdr:rowOff>
    </xdr:from>
    <xdr:to>
      <xdr:col>19</xdr:col>
      <xdr:colOff>904876</xdr:colOff>
      <xdr:row>74</xdr:row>
      <xdr:rowOff>374197</xdr:rowOff>
    </xdr:to>
    <xdr:graphicFrame macro="">
      <xdr:nvGraphicFramePr>
        <xdr:cNvPr id="7" name="Gráfico 6">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43089</xdr:colOff>
      <xdr:row>81</xdr:row>
      <xdr:rowOff>111124</xdr:rowOff>
    </xdr:from>
    <xdr:to>
      <xdr:col>15</xdr:col>
      <xdr:colOff>1016001</xdr:colOff>
      <xdr:row>84</xdr:row>
      <xdr:rowOff>208643</xdr:rowOff>
    </xdr:to>
    <xdr:graphicFrame macro="">
      <xdr:nvGraphicFramePr>
        <xdr:cNvPr id="9" name="Gráfico 8">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88448</xdr:colOff>
      <xdr:row>81</xdr:row>
      <xdr:rowOff>111124</xdr:rowOff>
    </xdr:from>
    <xdr:to>
      <xdr:col>17</xdr:col>
      <xdr:colOff>904876</xdr:colOff>
      <xdr:row>84</xdr:row>
      <xdr:rowOff>238125</xdr:rowOff>
    </xdr:to>
    <xdr:graphicFrame macro="">
      <xdr:nvGraphicFramePr>
        <xdr:cNvPr id="10" name="Gráfico 9">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1059090</xdr:colOff>
      <xdr:row>81</xdr:row>
      <xdr:rowOff>111125</xdr:rowOff>
    </xdr:from>
    <xdr:to>
      <xdr:col>19</xdr:col>
      <xdr:colOff>984250</xdr:colOff>
      <xdr:row>84</xdr:row>
      <xdr:rowOff>222250</xdr:rowOff>
    </xdr:to>
    <xdr:graphicFrame macro="">
      <xdr:nvGraphicFramePr>
        <xdr:cNvPr id="11" name="Gráfico 10">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90714</xdr:colOff>
      <xdr:row>92</xdr:row>
      <xdr:rowOff>190500</xdr:rowOff>
    </xdr:from>
    <xdr:to>
      <xdr:col>15</xdr:col>
      <xdr:colOff>1095375</xdr:colOff>
      <xdr:row>95</xdr:row>
      <xdr:rowOff>260804</xdr:rowOff>
    </xdr:to>
    <xdr:graphicFrame macro="">
      <xdr:nvGraphicFramePr>
        <xdr:cNvPr id="13" name="Gráfico 12">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70304</xdr:colOff>
      <xdr:row>92</xdr:row>
      <xdr:rowOff>190499</xdr:rowOff>
    </xdr:from>
    <xdr:to>
      <xdr:col>17</xdr:col>
      <xdr:colOff>1063625</xdr:colOff>
      <xdr:row>95</xdr:row>
      <xdr:rowOff>249464</xdr:rowOff>
    </xdr:to>
    <xdr:graphicFrame macro="">
      <xdr:nvGraphicFramePr>
        <xdr:cNvPr id="15" name="Gráfico 14">
          <a:extLst>
            <a:ext uri="{FF2B5EF4-FFF2-40B4-BE49-F238E27FC236}">
              <a16:creationId xmlns:a16="http://schemas.microsoft.com/office/drawing/2014/main" xmlns=""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117929</xdr:colOff>
      <xdr:row>92</xdr:row>
      <xdr:rowOff>127000</xdr:rowOff>
    </xdr:from>
    <xdr:to>
      <xdr:col>19</xdr:col>
      <xdr:colOff>984250</xdr:colOff>
      <xdr:row>95</xdr:row>
      <xdr:rowOff>269875</xdr:rowOff>
    </xdr:to>
    <xdr:graphicFrame macro="">
      <xdr:nvGraphicFramePr>
        <xdr:cNvPr id="16" name="Gráfico 15">
          <a:extLst>
            <a:ext uri="{FF2B5EF4-FFF2-40B4-BE49-F238E27FC236}">
              <a16:creationId xmlns:a16="http://schemas.microsoft.com/office/drawing/2014/main" xmlns=""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61233</xdr:colOff>
      <xdr:row>103</xdr:row>
      <xdr:rowOff>126999</xdr:rowOff>
    </xdr:from>
    <xdr:to>
      <xdr:col>15</xdr:col>
      <xdr:colOff>1047751</xdr:colOff>
      <xdr:row>106</xdr:row>
      <xdr:rowOff>242660</xdr:rowOff>
    </xdr:to>
    <xdr:graphicFrame macro="">
      <xdr:nvGraphicFramePr>
        <xdr:cNvPr id="17" name="Gráfico 16">
          <a:extLst>
            <a:ext uri="{FF2B5EF4-FFF2-40B4-BE49-F238E27FC236}">
              <a16:creationId xmlns:a16="http://schemas.microsoft.com/office/drawing/2014/main" xmlns=""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13608</xdr:colOff>
      <xdr:row>103</xdr:row>
      <xdr:rowOff>111125</xdr:rowOff>
    </xdr:from>
    <xdr:to>
      <xdr:col>17</xdr:col>
      <xdr:colOff>904875</xdr:colOff>
      <xdr:row>106</xdr:row>
      <xdr:rowOff>242661</xdr:rowOff>
    </xdr:to>
    <xdr:graphicFrame macro="">
      <xdr:nvGraphicFramePr>
        <xdr:cNvPr id="18" name="Gráfico 17">
          <a:extLst>
            <a:ext uri="{FF2B5EF4-FFF2-40B4-BE49-F238E27FC236}">
              <a16:creationId xmlns:a16="http://schemas.microsoft.com/office/drawing/2014/main" xmlns=""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1047750</xdr:colOff>
      <xdr:row>103</xdr:row>
      <xdr:rowOff>127000</xdr:rowOff>
    </xdr:from>
    <xdr:to>
      <xdr:col>19</xdr:col>
      <xdr:colOff>904875</xdr:colOff>
      <xdr:row>106</xdr:row>
      <xdr:rowOff>276679</xdr:rowOff>
    </xdr:to>
    <xdr:graphicFrame macro="">
      <xdr:nvGraphicFramePr>
        <xdr:cNvPr id="19" name="Gráfico 18">
          <a:extLst>
            <a:ext uri="{FF2B5EF4-FFF2-40B4-BE49-F238E27FC236}">
              <a16:creationId xmlns:a16="http://schemas.microsoft.com/office/drawing/2014/main" xmlns=""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83911</xdr:colOff>
      <xdr:row>114</xdr:row>
      <xdr:rowOff>269874</xdr:rowOff>
    </xdr:from>
    <xdr:to>
      <xdr:col>16</xdr:col>
      <xdr:colOff>0</xdr:colOff>
      <xdr:row>118</xdr:row>
      <xdr:rowOff>11339</xdr:rowOff>
    </xdr:to>
    <xdr:graphicFrame macro="">
      <xdr:nvGraphicFramePr>
        <xdr:cNvPr id="20" name="Gráfico 19">
          <a:extLst>
            <a:ext uri="{FF2B5EF4-FFF2-40B4-BE49-F238E27FC236}">
              <a16:creationId xmlns:a16="http://schemas.microsoft.com/office/drawing/2014/main" xmlns=""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117929</xdr:colOff>
      <xdr:row>114</xdr:row>
      <xdr:rowOff>269874</xdr:rowOff>
    </xdr:from>
    <xdr:to>
      <xdr:col>17</xdr:col>
      <xdr:colOff>1079500</xdr:colOff>
      <xdr:row>118</xdr:row>
      <xdr:rowOff>13607</xdr:rowOff>
    </xdr:to>
    <xdr:graphicFrame macro="">
      <xdr:nvGraphicFramePr>
        <xdr:cNvPr id="22" name="Gráfico 21">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72573</xdr:colOff>
      <xdr:row>114</xdr:row>
      <xdr:rowOff>285750</xdr:rowOff>
    </xdr:from>
    <xdr:to>
      <xdr:col>19</xdr:col>
      <xdr:colOff>952501</xdr:colOff>
      <xdr:row>118</xdr:row>
      <xdr:rowOff>47626</xdr:rowOff>
    </xdr:to>
    <xdr:graphicFrame macro="">
      <xdr:nvGraphicFramePr>
        <xdr:cNvPr id="23" name="Gráfico 22">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18</xdr:col>
      <xdr:colOff>39878</xdr:colOff>
      <xdr:row>43</xdr:row>
      <xdr:rowOff>11905</xdr:rowOff>
    </xdr:from>
    <xdr:to>
      <xdr:col>20</xdr:col>
      <xdr:colOff>1555749</xdr:colOff>
      <xdr:row>48</xdr:row>
      <xdr:rowOff>31749</xdr:rowOff>
    </xdr:to>
    <xdr:graphicFrame macro="">
      <xdr:nvGraphicFramePr>
        <xdr:cNvPr id="24" name="Gráfico 23">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21</xdr:col>
      <xdr:colOff>869157</xdr:colOff>
      <xdr:row>178</xdr:row>
      <xdr:rowOff>154782</xdr:rowOff>
    </xdr:from>
    <xdr:to>
      <xdr:col>25</xdr:col>
      <xdr:colOff>1020157</xdr:colOff>
      <xdr:row>184</xdr:row>
      <xdr:rowOff>140797</xdr:rowOff>
    </xdr:to>
    <xdr:graphicFrame macro="">
      <xdr:nvGraphicFramePr>
        <xdr:cNvPr id="25" name="Gráfico 24">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23813</xdr:colOff>
      <xdr:row>0</xdr:row>
      <xdr:rowOff>71438</xdr:rowOff>
    </xdr:from>
    <xdr:to>
      <xdr:col>2</xdr:col>
      <xdr:colOff>845339</xdr:colOff>
      <xdr:row>0</xdr:row>
      <xdr:rowOff>945497</xdr:rowOff>
    </xdr:to>
    <xdr:pic>
      <xdr:nvPicPr>
        <xdr:cNvPr id="27" name="26 Imagen">
          <a:extLst>
            <a:ext uri="{FF2B5EF4-FFF2-40B4-BE49-F238E27FC236}">
              <a16:creationId xmlns:a16="http://schemas.microsoft.com/office/drawing/2014/main" xmlns="" id="{00000000-0008-0000-0000-00001B000000}"/>
            </a:ext>
          </a:extLst>
        </xdr:cNvPr>
        <xdr:cNvPicPr>
          <a:picLocks noChangeAspect="1"/>
        </xdr:cNvPicPr>
      </xdr:nvPicPr>
      <xdr:blipFill>
        <a:blip xmlns:r="http://schemas.openxmlformats.org/officeDocument/2006/relationships" r:embed="rId18"/>
        <a:stretch>
          <a:fillRect/>
        </a:stretch>
      </xdr:blipFill>
      <xdr:spPr>
        <a:xfrm>
          <a:off x="1309688" y="71438"/>
          <a:ext cx="1869276" cy="874059"/>
        </a:xfrm>
        <a:prstGeom prst="rect">
          <a:avLst/>
        </a:prstGeom>
      </xdr:spPr>
    </xdr:pic>
    <xdr:clientData/>
  </xdr:twoCellAnchor>
  <xdr:twoCellAnchor>
    <xdr:from>
      <xdr:col>21</xdr:col>
      <xdr:colOff>854869</xdr:colOff>
      <xdr:row>188</xdr:row>
      <xdr:rowOff>87313</xdr:rowOff>
    </xdr:from>
    <xdr:to>
      <xdr:col>25</xdr:col>
      <xdr:colOff>1055876</xdr:colOff>
      <xdr:row>194</xdr:row>
      <xdr:rowOff>73327</xdr:rowOff>
    </xdr:to>
    <xdr:graphicFrame macro="">
      <xdr:nvGraphicFramePr>
        <xdr:cNvPr id="21" name="Gráfico 20">
          <a:extLst>
            <a:ext uri="{FF2B5EF4-FFF2-40B4-BE49-F238E27FC236}">
              <a16:creationId xmlns:a16="http://schemas.microsoft.com/office/drawing/2014/main" xmlns=""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18</xdr:col>
      <xdr:colOff>211137</xdr:colOff>
      <xdr:row>48</xdr:row>
      <xdr:rowOff>515144</xdr:rowOff>
    </xdr:from>
    <xdr:to>
      <xdr:col>20</xdr:col>
      <xdr:colOff>1727200</xdr:colOff>
      <xdr:row>54</xdr:row>
      <xdr:rowOff>50800</xdr:rowOff>
    </xdr:to>
    <xdr:graphicFrame macro="">
      <xdr:nvGraphicFramePr>
        <xdr:cNvPr id="28" name="Gráfico 27">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18</xdr:col>
      <xdr:colOff>27782</xdr:colOff>
      <xdr:row>54</xdr:row>
      <xdr:rowOff>599281</xdr:rowOff>
    </xdr:from>
    <xdr:to>
      <xdr:col>20</xdr:col>
      <xdr:colOff>1571625</xdr:colOff>
      <xdr:row>60</xdr:row>
      <xdr:rowOff>15875</xdr:rowOff>
    </xdr:to>
    <xdr:graphicFrame macro="">
      <xdr:nvGraphicFramePr>
        <xdr:cNvPr id="29" name="Gráfico 28">
          <a:extLst>
            <a:ext uri="{FF2B5EF4-FFF2-40B4-BE49-F238E27FC236}">
              <a16:creationId xmlns:a16="http://schemas.microsoft.com/office/drawing/2014/main" xmlns=""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18</xdr:col>
      <xdr:colOff>190500</xdr:colOff>
      <xdr:row>37</xdr:row>
      <xdr:rowOff>11906</xdr:rowOff>
    </xdr:from>
    <xdr:to>
      <xdr:col>20</xdr:col>
      <xdr:colOff>1706371</xdr:colOff>
      <xdr:row>42</xdr:row>
      <xdr:rowOff>19844</xdr:rowOff>
    </xdr:to>
    <xdr:graphicFrame macro="">
      <xdr:nvGraphicFramePr>
        <xdr:cNvPr id="2" name="Gráfico 1">
          <a:extLst>
            <a:ext uri="{FF2B5EF4-FFF2-40B4-BE49-F238E27FC236}">
              <a16:creationId xmlns:a16="http://schemas.microsoft.com/office/drawing/2014/main" xmlns="" id="{451FB8CE-C2F1-4333-832B-29D5B1AA0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14</xdr:col>
      <xdr:colOff>628650</xdr:colOff>
      <xdr:row>194</xdr:row>
      <xdr:rowOff>0</xdr:rowOff>
    </xdr:from>
    <xdr:ext cx="65" cy="172227"/>
    <xdr:sp macro="" textlink="">
      <xdr:nvSpPr>
        <xdr:cNvPr id="30" name="CuadroTexto 29">
          <a:extLst>
            <a:ext uri="{FF2B5EF4-FFF2-40B4-BE49-F238E27FC236}">
              <a16:creationId xmlns:a16="http://schemas.microsoft.com/office/drawing/2014/main" xmlns="" id="{00000000-0008-0000-0200-00001E000000}"/>
            </a:ext>
          </a:extLst>
        </xdr:cNvPr>
        <xdr:cNvSpPr txBox="1"/>
      </xdr:nvSpPr>
      <xdr:spPr>
        <a:xfrm>
          <a:off x="15506700"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4</xdr:col>
      <xdr:colOff>628650</xdr:colOff>
      <xdr:row>100</xdr:row>
      <xdr:rowOff>290512</xdr:rowOff>
    </xdr:from>
    <xdr:ext cx="65" cy="172227"/>
    <xdr:sp macro="" textlink="">
      <xdr:nvSpPr>
        <xdr:cNvPr id="32" name="CuadroTexto 31">
          <a:extLst>
            <a:ext uri="{FF2B5EF4-FFF2-40B4-BE49-F238E27FC236}">
              <a16:creationId xmlns:a16="http://schemas.microsoft.com/office/drawing/2014/main" xmlns="" id="{00000000-0008-0000-0200-000020000000}"/>
            </a:ext>
          </a:extLst>
        </xdr:cNvPr>
        <xdr:cNvSpPr txBox="1"/>
      </xdr:nvSpPr>
      <xdr:spPr>
        <a:xfrm>
          <a:off x="509587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628650</xdr:colOff>
      <xdr:row>100</xdr:row>
      <xdr:rowOff>290512</xdr:rowOff>
    </xdr:from>
    <xdr:ext cx="65" cy="172227"/>
    <xdr:sp macro="" textlink="">
      <xdr:nvSpPr>
        <xdr:cNvPr id="33" name="CuadroTexto 32">
          <a:extLst>
            <a:ext uri="{FF2B5EF4-FFF2-40B4-BE49-F238E27FC236}">
              <a16:creationId xmlns:a16="http://schemas.microsoft.com/office/drawing/2014/main" xmlns="" id="{00000000-0008-0000-0200-000021000000}"/>
            </a:ext>
          </a:extLst>
        </xdr:cNvPr>
        <xdr:cNvSpPr txBox="1"/>
      </xdr:nvSpPr>
      <xdr:spPr>
        <a:xfrm>
          <a:off x="594360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6</xdr:col>
      <xdr:colOff>628650</xdr:colOff>
      <xdr:row>100</xdr:row>
      <xdr:rowOff>290512</xdr:rowOff>
    </xdr:from>
    <xdr:ext cx="65" cy="172227"/>
    <xdr:sp macro="" textlink="">
      <xdr:nvSpPr>
        <xdr:cNvPr id="34" name="CuadroTexto 33">
          <a:extLst>
            <a:ext uri="{FF2B5EF4-FFF2-40B4-BE49-F238E27FC236}">
              <a16:creationId xmlns:a16="http://schemas.microsoft.com/office/drawing/2014/main" xmlns="" id="{00000000-0008-0000-0200-000022000000}"/>
            </a:ext>
          </a:extLst>
        </xdr:cNvPr>
        <xdr:cNvSpPr txBox="1"/>
      </xdr:nvSpPr>
      <xdr:spPr>
        <a:xfrm>
          <a:off x="671512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628650</xdr:colOff>
      <xdr:row>100</xdr:row>
      <xdr:rowOff>290512</xdr:rowOff>
    </xdr:from>
    <xdr:ext cx="65" cy="172227"/>
    <xdr:sp macro="" textlink="">
      <xdr:nvSpPr>
        <xdr:cNvPr id="35" name="CuadroTexto 34">
          <a:extLst>
            <a:ext uri="{FF2B5EF4-FFF2-40B4-BE49-F238E27FC236}">
              <a16:creationId xmlns:a16="http://schemas.microsoft.com/office/drawing/2014/main" xmlns="" id="{00000000-0008-0000-0200-000023000000}"/>
            </a:ext>
          </a:extLst>
        </xdr:cNvPr>
        <xdr:cNvSpPr txBox="1"/>
      </xdr:nvSpPr>
      <xdr:spPr>
        <a:xfrm>
          <a:off x="748665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8</xdr:col>
      <xdr:colOff>628650</xdr:colOff>
      <xdr:row>100</xdr:row>
      <xdr:rowOff>290512</xdr:rowOff>
    </xdr:from>
    <xdr:ext cx="65" cy="172227"/>
    <xdr:sp macro="" textlink="">
      <xdr:nvSpPr>
        <xdr:cNvPr id="36" name="CuadroTexto 35">
          <a:extLst>
            <a:ext uri="{FF2B5EF4-FFF2-40B4-BE49-F238E27FC236}">
              <a16:creationId xmlns:a16="http://schemas.microsoft.com/office/drawing/2014/main" xmlns="" id="{00000000-0008-0000-0200-000024000000}"/>
            </a:ext>
          </a:extLst>
        </xdr:cNvPr>
        <xdr:cNvSpPr txBox="1"/>
      </xdr:nvSpPr>
      <xdr:spPr>
        <a:xfrm>
          <a:off x="833437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37" name="CuadroTexto 36">
          <a:extLst>
            <a:ext uri="{FF2B5EF4-FFF2-40B4-BE49-F238E27FC236}">
              <a16:creationId xmlns:a16="http://schemas.microsoft.com/office/drawing/2014/main" xmlns="" id="{00000000-0008-0000-0200-000025000000}"/>
            </a:ext>
          </a:extLst>
        </xdr:cNvPr>
        <xdr:cNvSpPr txBox="1"/>
      </xdr:nvSpPr>
      <xdr:spPr>
        <a:xfrm>
          <a:off x="910590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38" name="CuadroTexto 37">
          <a:extLst>
            <a:ext uri="{FF2B5EF4-FFF2-40B4-BE49-F238E27FC236}">
              <a16:creationId xmlns:a16="http://schemas.microsoft.com/office/drawing/2014/main" xmlns="" id="{00000000-0008-0000-0200-000026000000}"/>
            </a:ext>
          </a:extLst>
        </xdr:cNvPr>
        <xdr:cNvSpPr txBox="1"/>
      </xdr:nvSpPr>
      <xdr:spPr>
        <a:xfrm>
          <a:off x="995362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39" name="CuadroTexto 38">
          <a:extLst>
            <a:ext uri="{FF2B5EF4-FFF2-40B4-BE49-F238E27FC236}">
              <a16:creationId xmlns:a16="http://schemas.microsoft.com/office/drawing/2014/main" xmlns="" id="{00000000-0008-0000-0200-000027000000}"/>
            </a:ext>
          </a:extLst>
        </xdr:cNvPr>
        <xdr:cNvSpPr txBox="1"/>
      </xdr:nvSpPr>
      <xdr:spPr>
        <a:xfrm>
          <a:off x="1080135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40" name="CuadroTexto 39">
          <a:extLst>
            <a:ext uri="{FF2B5EF4-FFF2-40B4-BE49-F238E27FC236}">
              <a16:creationId xmlns:a16="http://schemas.microsoft.com/office/drawing/2014/main" xmlns="" id="{00000000-0008-0000-0200-000028000000}"/>
            </a:ext>
          </a:extLst>
        </xdr:cNvPr>
        <xdr:cNvSpPr txBox="1"/>
      </xdr:nvSpPr>
      <xdr:spPr>
        <a:xfrm>
          <a:off x="910590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41" name="CuadroTexto 40">
          <a:extLst>
            <a:ext uri="{FF2B5EF4-FFF2-40B4-BE49-F238E27FC236}">
              <a16:creationId xmlns:a16="http://schemas.microsoft.com/office/drawing/2014/main" xmlns="" id="{00000000-0008-0000-0200-000029000000}"/>
            </a:ext>
          </a:extLst>
        </xdr:cNvPr>
        <xdr:cNvSpPr txBox="1"/>
      </xdr:nvSpPr>
      <xdr:spPr>
        <a:xfrm>
          <a:off x="995362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42" name="CuadroTexto 41">
          <a:extLst>
            <a:ext uri="{FF2B5EF4-FFF2-40B4-BE49-F238E27FC236}">
              <a16:creationId xmlns:a16="http://schemas.microsoft.com/office/drawing/2014/main" xmlns="" id="{00000000-0008-0000-0200-00002A000000}"/>
            </a:ext>
          </a:extLst>
        </xdr:cNvPr>
        <xdr:cNvSpPr txBox="1"/>
      </xdr:nvSpPr>
      <xdr:spPr>
        <a:xfrm>
          <a:off x="1080135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628650</xdr:colOff>
      <xdr:row>101</xdr:row>
      <xdr:rowOff>290512</xdr:rowOff>
    </xdr:from>
    <xdr:ext cx="65" cy="172227"/>
    <xdr:sp macro="" textlink="">
      <xdr:nvSpPr>
        <xdr:cNvPr id="43" name="CuadroTexto 42">
          <a:extLst>
            <a:ext uri="{FF2B5EF4-FFF2-40B4-BE49-F238E27FC236}">
              <a16:creationId xmlns:a16="http://schemas.microsoft.com/office/drawing/2014/main" xmlns="" id="{00000000-0008-0000-0200-00002B000000}"/>
            </a:ext>
          </a:extLst>
        </xdr:cNvPr>
        <xdr:cNvSpPr txBox="1"/>
      </xdr:nvSpPr>
      <xdr:spPr>
        <a:xfrm>
          <a:off x="11649075" y="21274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19</xdr:col>
      <xdr:colOff>185089</xdr:colOff>
      <xdr:row>6</xdr:row>
      <xdr:rowOff>350691</xdr:rowOff>
    </xdr:from>
    <xdr:to>
      <xdr:col>23</xdr:col>
      <xdr:colOff>185088</xdr:colOff>
      <xdr:row>11</xdr:row>
      <xdr:rowOff>310644</xdr:rowOff>
    </xdr:to>
    <xdr:graphicFrame macro="">
      <xdr:nvGraphicFramePr>
        <xdr:cNvPr id="54" name="Gráfico 53">
          <a:extLst>
            <a:ext uri="{FF2B5EF4-FFF2-40B4-BE49-F238E27FC236}">
              <a16:creationId xmlns:a16="http://schemas.microsoft.com/office/drawing/2014/main" xmlns="" id="{00000000-0008-0000-02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186171</xdr:colOff>
      <xdr:row>12</xdr:row>
      <xdr:rowOff>17318</xdr:rowOff>
    </xdr:from>
    <xdr:to>
      <xdr:col>23</xdr:col>
      <xdr:colOff>238127</xdr:colOff>
      <xdr:row>16</xdr:row>
      <xdr:rowOff>371258</xdr:rowOff>
    </xdr:to>
    <xdr:graphicFrame macro="">
      <xdr:nvGraphicFramePr>
        <xdr:cNvPr id="55" name="Gráfico 54">
          <a:extLst>
            <a:ext uri="{FF2B5EF4-FFF2-40B4-BE49-F238E27FC236}">
              <a16:creationId xmlns:a16="http://schemas.microsoft.com/office/drawing/2014/main" xmlns="" id="{00000000-0008-0000-02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51688</xdr:colOff>
      <xdr:row>5</xdr:row>
      <xdr:rowOff>21852</xdr:rowOff>
    </xdr:from>
    <xdr:ext cx="707536" cy="236155"/>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a16="http://schemas.microsoft.com/office/drawing/2014/main" xmlns="" id="{00000000-0008-0000-0200-00003B000000}"/>
                </a:ext>
              </a:extLst>
            </xdr:cNvPr>
            <xdr:cNvSpPr txBox="1"/>
          </xdr:nvSpPr>
          <xdr:spPr>
            <a:xfrm>
              <a:off x="15067570"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59" name="CuadroTexto 58">
              <a:extLst>
                <a:ext uri="{FF2B5EF4-FFF2-40B4-BE49-F238E27FC236}">
                  <a16:creationId xmlns:a16="http://schemas.microsoft.com/office/drawing/2014/main" xmlns="" xmlns:a14="http://schemas.microsoft.com/office/drawing/2010/main" id="{00000000-0008-0000-0100-00003B000000}"/>
                </a:ext>
              </a:extLst>
            </xdr:cNvPr>
            <xdr:cNvSpPr txBox="1"/>
          </xdr:nvSpPr>
          <xdr:spPr>
            <a:xfrm>
              <a:off x="15067570"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(𝜹</a:t>
              </a:r>
              <a:r>
                <a:rPr lang="es-CO" sz="1400" b="1" i="0">
                  <a:latin typeface="Cambria Math"/>
                  <a:ea typeface="Cambria Math" panose="02040503050406030204" pitchFamily="18" charset="0"/>
                </a:rPr>
                <a:t>〗_(</a:t>
              </a:r>
              <a:r>
                <a:rPr lang="es-CO" sz="1400" b="1" i="0">
                  <a:latin typeface="Cambria Math" panose="02040503050406030204" pitchFamily="18" charset="0"/>
                  <a:ea typeface="Cambria Math" panose="02040503050406030204" pitchFamily="18" charset="0"/>
                </a:rPr>
                <a:t>𝒅𝒓𝒊𝒇𝒕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a:t>
              </a:r>
              <a:endParaRPr lang="es-CO" sz="1400" b="1"/>
            </a:p>
          </xdr:txBody>
        </xdr:sp>
      </mc:Fallback>
    </mc:AlternateContent>
    <xdr:clientData/>
  </xdr:oneCellAnchor>
  <xdr:oneCellAnchor>
    <xdr:from>
      <xdr:col>0</xdr:col>
      <xdr:colOff>400050</xdr:colOff>
      <xdr:row>71</xdr:row>
      <xdr:rowOff>200025</xdr:rowOff>
    </xdr:from>
    <xdr:ext cx="492507" cy="43832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400050" y="230219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panose="02040503050406030204" pitchFamily="18" charset="0"/>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𝑨</m:t>
                        </m:r>
                      </m:sub>
                    </m:sSub>
                  </m:oMath>
                </m:oMathPara>
              </a14:m>
              <a:endParaRPr lang="es-CO" sz="2800" b="1"/>
            </a:p>
          </xdr:txBody>
        </xdr:sp>
      </mc:Choice>
      <mc:Fallback xmlns="">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400050" y="230219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𝑨</a:t>
              </a:r>
              <a:endParaRPr lang="es-CO" sz="2800" b="1"/>
            </a:p>
          </xdr:txBody>
        </xdr:sp>
      </mc:Fallback>
    </mc:AlternateContent>
    <xdr:clientData/>
  </xdr:oneCellAnchor>
  <xdr:oneCellAnchor>
    <xdr:from>
      <xdr:col>0</xdr:col>
      <xdr:colOff>1000128</xdr:colOff>
      <xdr:row>90</xdr:row>
      <xdr:rowOff>47615</xdr:rowOff>
    </xdr:from>
    <xdr:ext cx="388824" cy="438325"/>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200-000017000000}"/>
                </a:ext>
              </a:extLst>
            </xdr:cNvPr>
            <xdr:cNvSpPr txBox="1"/>
          </xdr:nvSpPr>
          <xdr:spPr>
            <a:xfrm>
              <a:off x="1000128" y="39659709"/>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MX" sz="2800" b="0" i="1">
                            <a:latin typeface="Cambria Math" panose="02040503050406030204" pitchFamily="18" charset="0"/>
                          </a:rPr>
                          <m:t>𝐼</m:t>
                        </m:r>
                      </m:e>
                      <m:sub>
                        <m:r>
                          <a:rPr lang="es-MX" sz="2800" b="0" i="1">
                            <a:latin typeface="Cambria Math" panose="02040503050406030204" pitchFamily="18" charset="0"/>
                          </a:rPr>
                          <m:t>𝐸</m:t>
                        </m:r>
                      </m:sub>
                    </m:sSub>
                  </m:oMath>
                </m:oMathPara>
              </a14:m>
              <a:endParaRPr lang="es-CO" sz="2800"/>
            </a:p>
          </xdr:txBody>
        </xdr:sp>
      </mc:Choice>
      <mc:Fallback xmlns="">
        <xdr:sp macro="" textlink="">
          <xdr:nvSpPr>
            <xdr:cNvPr id="23" name="CuadroTexto 22">
              <a:extLst>
                <a:ext uri="{FF2B5EF4-FFF2-40B4-BE49-F238E27FC236}">
                  <a16:creationId xmlns:a16="http://schemas.microsoft.com/office/drawing/2014/main" id="{00000000-0008-0000-0200-000017000000}"/>
                </a:ext>
              </a:extLst>
            </xdr:cNvPr>
            <xdr:cNvSpPr txBox="1"/>
          </xdr:nvSpPr>
          <xdr:spPr>
            <a:xfrm>
              <a:off x="1000128" y="39659709"/>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𝐸</a:t>
              </a:r>
              <a:endParaRPr lang="es-CO" sz="2800"/>
            </a:p>
          </xdr:txBody>
        </xdr:sp>
      </mc:Fallback>
    </mc:AlternateContent>
    <xdr:clientData/>
  </xdr:oneCellAnchor>
  <xdr:oneCellAnchor>
    <xdr:from>
      <xdr:col>0</xdr:col>
      <xdr:colOff>1005869</xdr:colOff>
      <xdr:row>91</xdr:row>
      <xdr:rowOff>161498</xdr:rowOff>
    </xdr:from>
    <xdr:ext cx="1074974" cy="266611"/>
    <mc:AlternateContent xmlns:mc="http://schemas.openxmlformats.org/markup-compatibility/2006" xmlns:a14="http://schemas.microsoft.com/office/drawing/2010/main">
      <mc:Choice Requires="a14">
        <xdr:sp macro="" textlink="">
          <xdr:nvSpPr>
            <xdr:cNvPr id="60" name="CuadroTexto 59">
              <a:extLst>
                <a:ext uri="{FF2B5EF4-FFF2-40B4-BE49-F238E27FC236}">
                  <a16:creationId xmlns:a16="http://schemas.microsoft.com/office/drawing/2014/main" xmlns="" id="{00000000-0008-0000-0200-00003C000000}"/>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𝐼</m:t>
                        </m:r>
                      </m:e>
                      <m:sub>
                        <m:r>
                          <a:rPr lang="es-MX" sz="1600" b="0" i="1">
                            <a:latin typeface="Cambria Math" panose="02040503050406030204" pitchFamily="18" charset="0"/>
                          </a:rPr>
                          <m:t>𝐸</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60" name="CuadroTexto 59">
              <a:extLst>
                <a:ext uri="{FF2B5EF4-FFF2-40B4-BE49-F238E27FC236}">
                  <a16:creationId xmlns:a16="http://schemas.microsoft.com/office/drawing/2014/main" id="{00000000-0008-0000-0200-00003C000000}"/>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𝐸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1249458</xdr:colOff>
      <xdr:row>84</xdr:row>
      <xdr:rowOff>58831</xdr:rowOff>
    </xdr:from>
    <xdr:ext cx="361509" cy="438325"/>
    <mc:AlternateContent xmlns:mc="http://schemas.openxmlformats.org/markup-compatibility/2006" xmlns:a14="http://schemas.microsoft.com/office/drawing/2010/main">
      <mc:Choice Requires="a14">
        <xdr:sp macro="" textlink="">
          <xdr:nvSpPr>
            <xdr:cNvPr id="61" name="CuadroTexto 60">
              <a:extLst>
                <a:ext uri="{FF2B5EF4-FFF2-40B4-BE49-F238E27FC236}">
                  <a16:creationId xmlns:a16="http://schemas.microsoft.com/office/drawing/2014/main" xmlns="" id="{00000000-0008-0000-0200-00003D000000}"/>
                </a:ext>
              </a:extLst>
            </xdr:cNvPr>
            <xdr:cNvSpPr txBox="1"/>
          </xdr:nvSpPr>
          <xdr:spPr>
            <a:xfrm>
              <a:off x="1249458" y="36456237"/>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MX" sz="2800" b="0" i="1">
                            <a:latin typeface="Cambria Math" panose="02040503050406030204" pitchFamily="18" charset="0"/>
                          </a:rPr>
                          <m:t>𝐼</m:t>
                        </m:r>
                      </m:e>
                      <m:sub>
                        <m:r>
                          <a:rPr lang="es-MX" sz="2800" b="0" i="1">
                            <a:latin typeface="Cambria Math" panose="02040503050406030204" pitchFamily="18" charset="0"/>
                          </a:rPr>
                          <m:t>𝐿</m:t>
                        </m:r>
                      </m:sub>
                    </m:sSub>
                  </m:oMath>
                </m:oMathPara>
              </a14:m>
              <a:endParaRPr lang="es-CO" sz="2800"/>
            </a:p>
          </xdr:txBody>
        </xdr:sp>
      </mc:Choice>
      <mc:Fallback xmlns="">
        <xdr:sp macro="" textlink="">
          <xdr:nvSpPr>
            <xdr:cNvPr id="61" name="CuadroTexto 60">
              <a:extLst>
                <a:ext uri="{FF2B5EF4-FFF2-40B4-BE49-F238E27FC236}">
                  <a16:creationId xmlns:a16="http://schemas.microsoft.com/office/drawing/2014/main" id="{00000000-0008-0000-0200-00003D000000}"/>
                </a:ext>
              </a:extLst>
            </xdr:cNvPr>
            <xdr:cNvSpPr txBox="1"/>
          </xdr:nvSpPr>
          <xdr:spPr>
            <a:xfrm>
              <a:off x="1249458" y="36456237"/>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𝐿</a:t>
              </a:r>
              <a:endParaRPr lang="es-CO" sz="2800"/>
            </a:p>
          </xdr:txBody>
        </xdr:sp>
      </mc:Fallback>
    </mc:AlternateContent>
    <xdr:clientData/>
  </xdr:oneCellAnchor>
  <xdr:oneCellAnchor>
    <xdr:from>
      <xdr:col>0</xdr:col>
      <xdr:colOff>1194269</xdr:colOff>
      <xdr:row>85</xdr:row>
      <xdr:rowOff>118082</xdr:rowOff>
    </xdr:from>
    <xdr:ext cx="1059393" cy="266611"/>
    <mc:AlternateContent xmlns:mc="http://schemas.openxmlformats.org/markup-compatibility/2006" xmlns:a14="http://schemas.microsoft.com/office/drawing/2010/main">
      <mc:Choice Requires="a14">
        <xdr:sp macro="" textlink="">
          <xdr:nvSpPr>
            <xdr:cNvPr id="62" name="CuadroTexto 61">
              <a:extLst>
                <a:ext uri="{FF2B5EF4-FFF2-40B4-BE49-F238E27FC236}">
                  <a16:creationId xmlns:a16="http://schemas.microsoft.com/office/drawing/2014/main" xmlns="" id="{00000000-0008-0000-0200-00003E000000}"/>
                </a:ext>
              </a:extLst>
            </xdr:cNvPr>
            <xdr:cNvSpPr txBox="1"/>
          </xdr:nvSpPr>
          <xdr:spPr>
            <a:xfrm>
              <a:off x="1194269" y="37051270"/>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𝐼</m:t>
                        </m:r>
                      </m:e>
                      <m:sub>
                        <m:r>
                          <a:rPr lang="es-MX" sz="1600" b="0" i="1">
                            <a:latin typeface="Cambria Math" panose="02040503050406030204" pitchFamily="18" charset="0"/>
                          </a:rPr>
                          <m:t>𝐿</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62" name="CuadroTexto 61">
              <a:extLst>
                <a:ext uri="{FF2B5EF4-FFF2-40B4-BE49-F238E27FC236}">
                  <a16:creationId xmlns:a16="http://schemas.microsoft.com/office/drawing/2014/main" id="{00000000-0008-0000-0200-00003E000000}"/>
                </a:ext>
              </a:extLst>
            </xdr:cNvPr>
            <xdr:cNvSpPr txBox="1"/>
          </xdr:nvSpPr>
          <xdr:spPr>
            <a:xfrm>
              <a:off x="1194269" y="37051270"/>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𝐿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1178020</xdr:colOff>
      <xdr:row>86</xdr:row>
      <xdr:rowOff>34322</xdr:rowOff>
    </xdr:from>
    <xdr:ext cx="231602" cy="438325"/>
    <mc:AlternateContent xmlns:mc="http://schemas.openxmlformats.org/markup-compatibility/2006" xmlns:a14="http://schemas.microsoft.com/office/drawing/2010/main">
      <mc:Choice Requires="a14">
        <xdr:sp macro="" textlink="">
          <xdr:nvSpPr>
            <xdr:cNvPr id="63" name="CuadroTexto 62">
              <a:extLst>
                <a:ext uri="{FF2B5EF4-FFF2-40B4-BE49-F238E27FC236}">
                  <a16:creationId xmlns:a16="http://schemas.microsoft.com/office/drawing/2014/main" xmlns="" id="{00000000-0008-0000-0200-00003F000000}"/>
                </a:ext>
              </a:extLst>
            </xdr:cNvPr>
            <xdr:cNvSpPr txBox="1"/>
          </xdr:nvSpPr>
          <xdr:spPr>
            <a:xfrm>
              <a:off x="1178020" y="37503291"/>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2800" b="0" i="1">
                        <a:latin typeface="Cambria Math" panose="02040503050406030204" pitchFamily="18" charset="0"/>
                      </a:rPr>
                      <m:t>𝑡</m:t>
                    </m:r>
                  </m:oMath>
                </m:oMathPara>
              </a14:m>
              <a:endParaRPr lang="es-CO" sz="2800"/>
            </a:p>
          </xdr:txBody>
        </xdr:sp>
      </mc:Choice>
      <mc:Fallback xmlns="">
        <xdr:sp macro="" textlink="">
          <xdr:nvSpPr>
            <xdr:cNvPr id="63" name="CuadroTexto 62">
              <a:extLst>
                <a:ext uri="{FF2B5EF4-FFF2-40B4-BE49-F238E27FC236}">
                  <a16:creationId xmlns:a16="http://schemas.microsoft.com/office/drawing/2014/main" id="{00000000-0008-0000-0200-00003F000000}"/>
                </a:ext>
              </a:extLst>
            </xdr:cNvPr>
            <xdr:cNvSpPr txBox="1"/>
          </xdr:nvSpPr>
          <xdr:spPr>
            <a:xfrm>
              <a:off x="1178020" y="37503291"/>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𝑡</a:t>
              </a:r>
              <a:endParaRPr lang="es-CO" sz="2800"/>
            </a:p>
          </xdr:txBody>
        </xdr:sp>
      </mc:Fallback>
    </mc:AlternateContent>
    <xdr:clientData/>
  </xdr:oneCellAnchor>
  <xdr:oneCellAnchor>
    <xdr:from>
      <xdr:col>0</xdr:col>
      <xdr:colOff>1185860</xdr:colOff>
      <xdr:row>87</xdr:row>
      <xdr:rowOff>137700</xdr:rowOff>
    </xdr:from>
    <xdr:ext cx="985590" cy="266611"/>
    <mc:AlternateContent xmlns:mc="http://schemas.openxmlformats.org/markup-compatibility/2006" xmlns:a14="http://schemas.microsoft.com/office/drawing/2010/main">
      <mc:Choice Requires="a14">
        <xdr:sp macro="" textlink="">
          <xdr:nvSpPr>
            <xdr:cNvPr id="64" name="CuadroTexto 63">
              <a:extLst>
                <a:ext uri="{FF2B5EF4-FFF2-40B4-BE49-F238E27FC236}">
                  <a16:creationId xmlns:a16="http://schemas.microsoft.com/office/drawing/2014/main" xmlns="" id="{00000000-0008-0000-0200-000040000000}"/>
                </a:ext>
              </a:extLst>
            </xdr:cNvPr>
            <xdr:cNvSpPr txBox="1"/>
          </xdr:nvSpPr>
          <xdr:spPr>
            <a:xfrm>
              <a:off x="1185860" y="38142450"/>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𝑡</m:t>
                        </m:r>
                      </m:e>
                      <m:sub>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64" name="CuadroTexto 63">
              <a:extLst>
                <a:ext uri="{FF2B5EF4-FFF2-40B4-BE49-F238E27FC236}">
                  <a16:creationId xmlns:a16="http://schemas.microsoft.com/office/drawing/2014/main" id="{00000000-0008-0000-0200-000040000000}"/>
                </a:ext>
              </a:extLst>
            </xdr:cNvPr>
            <xdr:cNvSpPr txBox="1"/>
          </xdr:nvSpPr>
          <xdr:spPr>
            <a:xfrm>
              <a:off x="1185860" y="38142450"/>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1054894</xdr:colOff>
      <xdr:row>92</xdr:row>
      <xdr:rowOff>92869</xdr:rowOff>
    </xdr:from>
    <xdr:ext cx="219547" cy="250453"/>
    <mc:AlternateContent xmlns:mc="http://schemas.openxmlformats.org/markup-compatibility/2006" xmlns:a14="http://schemas.microsoft.com/office/drawing/2010/main">
      <mc:Choice Requires="a14">
        <xdr:sp macro="" textlink="">
          <xdr:nvSpPr>
            <xdr:cNvPr id="65" name="CuadroTexto 64">
              <a:extLst>
                <a:ext uri="{FF2B5EF4-FFF2-40B4-BE49-F238E27FC236}">
                  <a16:creationId xmlns:a16="http://schemas.microsoft.com/office/drawing/2014/main" xmlns="" id="{00000000-0008-0000-0200-000041000000}"/>
                </a:ext>
              </a:extLst>
            </xdr:cNvPr>
            <xdr:cNvSpPr txBox="1"/>
          </xdr:nvSpPr>
          <xdr:spPr>
            <a:xfrm>
              <a:off x="1054894" y="40776525"/>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𝑡</m:t>
                        </m:r>
                      </m:e>
                      <m:sub>
                        <m:r>
                          <a:rPr lang="es-MX" sz="1600" b="0" i="1">
                            <a:latin typeface="Cambria Math" panose="02040503050406030204" pitchFamily="18" charset="0"/>
                          </a:rPr>
                          <m:t>0</m:t>
                        </m:r>
                      </m:sub>
                    </m:sSub>
                  </m:oMath>
                </m:oMathPara>
              </a14:m>
              <a:endParaRPr lang="es-CO" sz="1600"/>
            </a:p>
          </xdr:txBody>
        </xdr:sp>
      </mc:Choice>
      <mc:Fallback xmlns="">
        <xdr:sp macro="" textlink="">
          <xdr:nvSpPr>
            <xdr:cNvPr id="65" name="CuadroTexto 64">
              <a:extLst>
                <a:ext uri="{FF2B5EF4-FFF2-40B4-BE49-F238E27FC236}">
                  <a16:creationId xmlns:a16="http://schemas.microsoft.com/office/drawing/2014/main" id="{00000000-0008-0000-0200-000041000000}"/>
                </a:ext>
              </a:extLst>
            </xdr:cNvPr>
            <xdr:cNvSpPr txBox="1"/>
          </xdr:nvSpPr>
          <xdr:spPr>
            <a:xfrm>
              <a:off x="1054894" y="40776525"/>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0</a:t>
              </a:r>
              <a:endParaRPr lang="es-CO" sz="1600"/>
            </a:p>
          </xdr:txBody>
        </xdr:sp>
      </mc:Fallback>
    </mc:AlternateContent>
    <xdr:clientData/>
  </xdr:oneCellAnchor>
  <xdr:oneCellAnchor>
    <xdr:from>
      <xdr:col>0</xdr:col>
      <xdr:colOff>257175</xdr:colOff>
      <xdr:row>75</xdr:row>
      <xdr:rowOff>304800</xdr:rowOff>
    </xdr:from>
    <xdr:ext cx="576825" cy="438325"/>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a16="http://schemas.microsoft.com/office/drawing/2014/main" xmlns="" id="{00000000-0008-0000-0200-000042000000}"/>
                </a:ext>
              </a:extLst>
            </xdr:cNvPr>
            <xdr:cNvSpPr txBox="1"/>
          </xdr:nvSpPr>
          <xdr:spPr>
            <a:xfrm>
              <a:off x="257175" y="25184100"/>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panose="02040503050406030204" pitchFamily="18" charset="0"/>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𝑾</m:t>
                        </m:r>
                      </m:sub>
                    </m:sSub>
                  </m:oMath>
                </m:oMathPara>
              </a14:m>
              <a:endParaRPr lang="es-CO" sz="2800" b="1"/>
            </a:p>
          </xdr:txBody>
        </xdr:sp>
      </mc:Choice>
      <mc:Fallback xmlns="">
        <xdr:sp macro="" textlink="">
          <xdr:nvSpPr>
            <xdr:cNvPr id="66" name="CuadroTexto 65">
              <a:extLst>
                <a:ext uri="{FF2B5EF4-FFF2-40B4-BE49-F238E27FC236}">
                  <a16:creationId xmlns:a16="http://schemas.microsoft.com/office/drawing/2014/main" id="{00000000-0008-0000-0200-000042000000}"/>
                </a:ext>
              </a:extLst>
            </xdr:cNvPr>
            <xdr:cNvSpPr txBox="1"/>
          </xdr:nvSpPr>
          <xdr:spPr>
            <a:xfrm>
              <a:off x="257175" y="25184100"/>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𝑾</a:t>
              </a:r>
              <a:endParaRPr lang="es-CO" sz="2800" b="1"/>
            </a:p>
          </xdr:txBody>
        </xdr:sp>
      </mc:Fallback>
    </mc:AlternateContent>
    <xdr:clientData/>
  </xdr:oneCellAnchor>
  <xdr:oneCellAnchor>
    <xdr:from>
      <xdr:col>0</xdr:col>
      <xdr:colOff>381000</xdr:colOff>
      <xdr:row>93</xdr:row>
      <xdr:rowOff>47625</xdr:rowOff>
    </xdr:from>
    <xdr:ext cx="65" cy="438325"/>
    <xdr:sp macro="" textlink="">
      <xdr:nvSpPr>
        <xdr:cNvPr id="67" name="CuadroTexto 66">
          <a:extLst>
            <a:ext uri="{FF2B5EF4-FFF2-40B4-BE49-F238E27FC236}">
              <a16:creationId xmlns:a16="http://schemas.microsoft.com/office/drawing/2014/main" xmlns="" id="{00000000-0008-0000-0200-000043000000}"/>
            </a:ext>
          </a:extLst>
        </xdr:cNvPr>
        <xdr:cNvSpPr txBox="1"/>
      </xdr:nvSpPr>
      <xdr:spPr>
        <a:xfrm>
          <a:off x="381000" y="32642175"/>
          <a:ext cx="6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2800"/>
        </a:p>
      </xdr:txBody>
    </xdr:sp>
    <xdr:clientData/>
  </xdr:oneCellAnchor>
  <xdr:oneCellAnchor>
    <xdr:from>
      <xdr:col>0</xdr:col>
      <xdr:colOff>919582</xdr:colOff>
      <xdr:row>93</xdr:row>
      <xdr:rowOff>60932</xdr:rowOff>
    </xdr:from>
    <xdr:ext cx="896656" cy="281808"/>
    <mc:AlternateContent xmlns:mc="http://schemas.openxmlformats.org/markup-compatibility/2006" xmlns:a14="http://schemas.microsoft.com/office/drawing/2010/main">
      <mc:Choice Requires="a14">
        <xdr:sp macro="" textlink="">
          <xdr:nvSpPr>
            <xdr:cNvPr id="68" name="CuadroTexto 67">
              <a:extLst>
                <a:ext uri="{FF2B5EF4-FFF2-40B4-BE49-F238E27FC236}">
                  <a16:creationId xmlns:a16="http://schemas.microsoft.com/office/drawing/2014/main" xmlns="" id="{00000000-0008-0000-0200-000044000000}"/>
                </a:ext>
              </a:extLst>
            </xdr:cNvPr>
            <xdr:cNvSpPr txBox="1"/>
          </xdr:nvSpPr>
          <xdr:spPr>
            <a:xfrm>
              <a:off x="919582" y="40470745"/>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MX" sz="1800" b="0" i="1">
                            <a:latin typeface="Cambria Math" panose="02040503050406030204" pitchFamily="18" charset="0"/>
                          </a:rPr>
                        </m:ctrlPr>
                      </m:dPr>
                      <m:e>
                        <m:sSub>
                          <m:sSubPr>
                            <m:ctrlPr>
                              <a:rPr lang="es-CO" sz="1800" i="1">
                                <a:solidFill>
                                  <a:schemeClr val="tx1"/>
                                </a:solidFill>
                                <a:effectLst/>
                                <a:latin typeface="Cambria Math" panose="02040503050406030204" pitchFamily="18" charset="0"/>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𝐿</m:t>
                            </m:r>
                          </m:sub>
                        </m:sSub>
                        <m:r>
                          <a:rPr lang="es-MX" sz="1800" b="0" i="1">
                            <a:solidFill>
                              <a:schemeClr val="tx1"/>
                            </a:solidFill>
                            <a:effectLst/>
                            <a:latin typeface="Cambria Math" panose="02040503050406030204" pitchFamily="18" charset="0"/>
                            <a:ea typeface="+mn-ea"/>
                            <a:cs typeface="+mn-cs"/>
                          </a:rPr>
                          <m:t>−</m:t>
                        </m:r>
                        <m:sSub>
                          <m:sSubPr>
                            <m:ctrlPr>
                              <a:rPr lang="es-MX" sz="1800" b="0" i="1">
                                <a:solidFill>
                                  <a:schemeClr val="tx1"/>
                                </a:solidFill>
                                <a:effectLst/>
                                <a:latin typeface="Cambria Math" panose="02040503050406030204" pitchFamily="18" charset="0"/>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𝐸</m:t>
                            </m:r>
                          </m:sub>
                        </m:sSub>
                      </m:e>
                    </m:d>
                  </m:oMath>
                </m:oMathPara>
              </a14:m>
              <a:endParaRPr lang="es-CO" sz="1800"/>
            </a:p>
          </xdr:txBody>
        </xdr:sp>
      </mc:Choice>
      <mc:Fallback xmlns="">
        <xdr:sp macro="" textlink="">
          <xdr:nvSpPr>
            <xdr:cNvPr id="68" name="CuadroTexto 67">
              <a:extLst>
                <a:ext uri="{FF2B5EF4-FFF2-40B4-BE49-F238E27FC236}">
                  <a16:creationId xmlns:a16="http://schemas.microsoft.com/office/drawing/2014/main" id="{00000000-0008-0000-0200-000044000000}"/>
                </a:ext>
              </a:extLst>
            </xdr:cNvPr>
            <xdr:cNvSpPr txBox="1"/>
          </xdr:nvSpPr>
          <xdr:spPr>
            <a:xfrm>
              <a:off x="919582" y="40470745"/>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a:t>
              </a:r>
              <a:r>
                <a:rPr lang="es-MX" sz="1800" b="0" i="0">
                  <a:solidFill>
                    <a:schemeClr val="tx1"/>
                  </a:solidFill>
                  <a:effectLst/>
                  <a:latin typeface="Cambria Math" panose="02040503050406030204" pitchFamily="18" charset="0"/>
                  <a:ea typeface="+mn-ea"/>
                  <a:cs typeface="+mn-cs"/>
                </a:rPr>
                <a:t>𝐼</a:t>
              </a:r>
              <a:r>
                <a:rPr lang="es-CO" sz="1800" b="0" i="0">
                  <a:solidFill>
                    <a:schemeClr val="tx1"/>
                  </a:solidFill>
                  <a:effectLst/>
                  <a:latin typeface="Cambria Math" panose="02040503050406030204" pitchFamily="18" charset="0"/>
                  <a:ea typeface="+mn-ea"/>
                  <a:cs typeface="+mn-cs"/>
                </a:rPr>
                <a:t>_</a:t>
              </a:r>
              <a:r>
                <a:rPr lang="es-MX" sz="1800" b="0" i="0">
                  <a:solidFill>
                    <a:schemeClr val="tx1"/>
                  </a:solidFill>
                  <a:effectLst/>
                  <a:latin typeface="Cambria Math" panose="02040503050406030204" pitchFamily="18" charset="0"/>
                  <a:ea typeface="+mn-ea"/>
                  <a:cs typeface="+mn-cs"/>
                </a:rPr>
                <a:t>𝐿−𝐼_𝐸 )</a:t>
              </a:r>
              <a:endParaRPr lang="es-CO" sz="1800"/>
            </a:p>
          </xdr:txBody>
        </xdr:sp>
      </mc:Fallback>
    </mc:AlternateContent>
    <xdr:clientData/>
  </xdr:oneCellAnchor>
  <xdr:oneCellAnchor>
    <xdr:from>
      <xdr:col>0</xdr:col>
      <xdr:colOff>1028700</xdr:colOff>
      <xdr:row>94</xdr:row>
      <xdr:rowOff>76200</xdr:rowOff>
    </xdr:from>
    <xdr:ext cx="694100" cy="380361"/>
    <mc:AlternateContent xmlns:mc="http://schemas.openxmlformats.org/markup-compatibility/2006" xmlns:a14="http://schemas.microsoft.com/office/drawing/2010/main">
      <mc:Choice Requires="a14">
        <xdr:sp macro="" textlink="">
          <xdr:nvSpPr>
            <xdr:cNvPr id="69" name="CuadroTexto 68">
              <a:extLst>
                <a:ext uri="{FF2B5EF4-FFF2-40B4-BE49-F238E27FC236}">
                  <a16:creationId xmlns:a16="http://schemas.microsoft.com/office/drawing/2014/main" xmlns="" id="{00000000-0008-0000-0200-000045000000}"/>
                </a:ext>
              </a:extLst>
            </xdr:cNvPr>
            <xdr:cNvSpPr txBox="1"/>
          </xdr:nvSpPr>
          <xdr:spPr>
            <a:xfrm>
              <a:off x="1028700" y="38478759"/>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panose="02040503050406030204" pitchFamily="18" charset="0"/>
                            <a:ea typeface="+mn-ea"/>
                            <a:cs typeface="+mn-cs"/>
                          </a:rPr>
                        </m:ctrlPr>
                      </m:dPr>
                      <m:e>
                        <m:f>
                          <m:fPr>
                            <m:ctrlPr>
                              <a:rPr lang="es-MX" sz="1100" b="0" i="1">
                                <a:solidFill>
                                  <a:schemeClr val="tx1"/>
                                </a:solidFill>
                                <a:latin typeface="Cambria Math" panose="02040503050406030204" pitchFamily="18" charset="0"/>
                                <a:ea typeface="+mn-ea"/>
                                <a:cs typeface="+mn-cs"/>
                              </a:rPr>
                            </m:ctrlPr>
                          </m:fPr>
                          <m:num>
                            <m:r>
                              <a:rPr lang="es-MX" sz="1100" b="0" i="1">
                                <a:solidFill>
                                  <a:schemeClr val="tx1"/>
                                </a:solidFill>
                                <a:latin typeface="Cambria Math" panose="02040503050406030204" pitchFamily="18" charset="0"/>
                                <a:ea typeface="+mn-ea"/>
                                <a:cs typeface="+mn-cs"/>
                              </a:rPr>
                              <m:t>1</m:t>
                            </m:r>
                          </m:num>
                          <m:den>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𝑊</m:t>
                                </m:r>
                              </m:sub>
                            </m:sSub>
                            <m:r>
                              <a:rPr lang="es-MX" sz="1100" b="0" i="1">
                                <a:solidFill>
                                  <a:schemeClr val="tx1"/>
                                </a:solidFill>
                                <a:latin typeface="Cambria Math" panose="02040503050406030204" pitchFamily="18" charset="0"/>
                                <a:ea typeface="+mn-ea"/>
                                <a:cs typeface="+mn-cs"/>
                              </a:rPr>
                              <m:t>−</m:t>
                            </m:r>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𝐴</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69" name="CuadroTexto 68">
              <a:extLst>
                <a:ext uri="{FF2B5EF4-FFF2-40B4-BE49-F238E27FC236}">
                  <a16:creationId xmlns:a16="http://schemas.microsoft.com/office/drawing/2014/main" id="{00000000-0008-0000-0200-000045000000}"/>
                </a:ext>
              </a:extLst>
            </xdr:cNvPr>
            <xdr:cNvSpPr txBox="1"/>
          </xdr:nvSpPr>
          <xdr:spPr>
            <a:xfrm>
              <a:off x="1028700" y="38478759"/>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(1/(𝜌_𝑊−𝜌_𝐴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1039905</xdr:colOff>
      <xdr:row>95</xdr:row>
      <xdr:rowOff>177052</xdr:rowOff>
    </xdr:from>
    <xdr:ext cx="592663" cy="380361"/>
    <mc:AlternateContent xmlns:mc="http://schemas.openxmlformats.org/markup-compatibility/2006" xmlns:a14="http://schemas.microsoft.com/office/drawing/2010/main">
      <mc:Choice Requires="a14">
        <xdr:sp macro="" textlink="">
          <xdr:nvSpPr>
            <xdr:cNvPr id="70" name="CuadroTexto 69">
              <a:extLst>
                <a:ext uri="{FF2B5EF4-FFF2-40B4-BE49-F238E27FC236}">
                  <a16:creationId xmlns:a16="http://schemas.microsoft.com/office/drawing/2014/main" xmlns="" id="{00000000-0008-0000-0200-000046000000}"/>
                </a:ext>
              </a:extLst>
            </xdr:cNvPr>
            <xdr:cNvSpPr txBox="1"/>
          </xdr:nvSpPr>
          <xdr:spPr>
            <a:xfrm>
              <a:off x="1039905" y="39106287"/>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panose="02040503050406030204" pitchFamily="18" charset="0"/>
                            <a:ea typeface="+mn-ea"/>
                            <a:cs typeface="+mn-cs"/>
                          </a:rPr>
                        </m:ctrlPr>
                      </m:dPr>
                      <m:e>
                        <m:r>
                          <a:rPr lang="es-MX" sz="1100" b="0" i="1">
                            <a:solidFill>
                              <a:schemeClr val="tx1"/>
                            </a:solidFill>
                            <a:latin typeface="Cambria Math" panose="02040503050406030204" pitchFamily="18" charset="0"/>
                            <a:ea typeface="+mn-ea"/>
                            <a:cs typeface="+mn-cs"/>
                          </a:rPr>
                          <m:t>1−</m:t>
                        </m:r>
                        <m:f>
                          <m:fPr>
                            <m:ctrlPr>
                              <a:rPr lang="es-MX" sz="1100" b="0" i="1">
                                <a:solidFill>
                                  <a:schemeClr val="tx1"/>
                                </a:solidFill>
                                <a:latin typeface="Cambria Math" panose="02040503050406030204" pitchFamily="18" charset="0"/>
                                <a:ea typeface="+mn-ea"/>
                                <a:cs typeface="+mn-cs"/>
                              </a:rPr>
                            </m:ctrlPr>
                          </m:fPr>
                          <m:num>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𝐴</m:t>
                                </m:r>
                              </m:sub>
                            </m:sSub>
                          </m:num>
                          <m:den>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𝐵</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70" name="CuadroTexto 69">
              <a:extLst>
                <a:ext uri="{FF2B5EF4-FFF2-40B4-BE49-F238E27FC236}">
                  <a16:creationId xmlns:a16="http://schemas.microsoft.com/office/drawing/2014/main" id="{00000000-0008-0000-0200-000046000000}"/>
                </a:ext>
              </a:extLst>
            </xdr:cNvPr>
            <xdr:cNvSpPr txBox="1"/>
          </xdr:nvSpPr>
          <xdr:spPr>
            <a:xfrm>
              <a:off x="1039905" y="39106287"/>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_𝐴/</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_𝐵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675154</xdr:colOff>
      <xdr:row>96</xdr:row>
      <xdr:rowOff>282949</xdr:rowOff>
    </xdr:from>
    <xdr:ext cx="1408271" cy="210507"/>
    <mc:AlternateContent xmlns:mc="http://schemas.openxmlformats.org/markup-compatibility/2006" xmlns:a14="http://schemas.microsoft.com/office/drawing/2010/main">
      <mc:Choice Requires="a14">
        <xdr:sp macro="" textlink="">
          <xdr:nvSpPr>
            <xdr:cNvPr id="71" name="CuadroTexto 70">
              <a:extLst>
                <a:ext uri="{FF2B5EF4-FFF2-40B4-BE49-F238E27FC236}">
                  <a16:creationId xmlns:a16="http://schemas.microsoft.com/office/drawing/2014/main" xmlns="" id="{00000000-0008-0000-0200-000047000000}"/>
                </a:ext>
              </a:extLst>
            </xdr:cNvPr>
            <xdr:cNvSpPr txBox="1"/>
          </xdr:nvSpPr>
          <xdr:spPr>
            <a:xfrm>
              <a:off x="675154" y="39850920"/>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begChr m:val="["/>
                        <m:endChr m:val="]"/>
                        <m:ctrlPr>
                          <a:rPr lang="es-MX" sz="1400" b="0" i="1">
                            <a:solidFill>
                              <a:schemeClr val="tx1"/>
                            </a:solidFill>
                            <a:latin typeface="Cambria Math" panose="02040503050406030204" pitchFamily="18" charset="0"/>
                            <a:ea typeface="+mn-ea"/>
                            <a:cs typeface="+mn-cs"/>
                          </a:rPr>
                        </m:ctrlPr>
                      </m:dPr>
                      <m:e>
                        <m:d>
                          <m:dPr>
                            <m:ctrlPr>
                              <a:rPr lang="es-MX" sz="1400" b="0" i="1">
                                <a:solidFill>
                                  <a:schemeClr val="tx1"/>
                                </a:solidFill>
                                <a:effectLst/>
                                <a:latin typeface="Cambria Math" panose="02040503050406030204" pitchFamily="18" charset="0"/>
                                <a:ea typeface="+mn-ea"/>
                                <a:cs typeface="+mn-cs"/>
                              </a:rPr>
                            </m:ctrlPr>
                          </m:dPr>
                          <m:e>
                            <m:r>
                              <a:rPr lang="es-MX" sz="1400" b="0" i="1">
                                <a:solidFill>
                                  <a:schemeClr val="tx1"/>
                                </a:solidFill>
                                <a:effectLst/>
                                <a:latin typeface="Cambria Math" panose="02040503050406030204" pitchFamily="18" charset="0"/>
                                <a:ea typeface="+mn-ea"/>
                                <a:cs typeface="+mn-cs"/>
                              </a:rPr>
                              <m:t>1−</m:t>
                            </m:r>
                            <m:r>
                              <a:rPr lang="es-MX" sz="1400" b="0" i="1">
                                <a:solidFill>
                                  <a:schemeClr val="tx1"/>
                                </a:solidFill>
                                <a:effectLst/>
                                <a:latin typeface="Cambria Math" panose="02040503050406030204" pitchFamily="18" charset="0"/>
                                <a:ea typeface="+mn-ea"/>
                                <a:cs typeface="+mn-cs"/>
                              </a:rPr>
                              <m:t>𝛾</m:t>
                            </m:r>
                            <m:r>
                              <a:rPr lang="es-MX" sz="1400" b="0" i="1">
                                <a:solidFill>
                                  <a:schemeClr val="tx1"/>
                                </a:solidFill>
                                <a:effectLst/>
                                <a:latin typeface="Cambria Math" panose="02040503050406030204" pitchFamily="18" charset="0"/>
                                <a:ea typeface="+mn-ea"/>
                                <a:cs typeface="+mn-cs"/>
                              </a:rPr>
                              <m:t>∗(</m:t>
                            </m:r>
                            <m:r>
                              <a:rPr lang="es-MX" sz="1400" b="0" i="1">
                                <a:solidFill>
                                  <a:schemeClr val="tx1"/>
                                </a:solidFill>
                                <a:effectLst/>
                                <a:latin typeface="Cambria Math" panose="02040503050406030204" pitchFamily="18" charset="0"/>
                                <a:ea typeface="+mn-ea"/>
                                <a:cs typeface="+mn-cs"/>
                              </a:rPr>
                              <m:t>𝑡</m:t>
                            </m:r>
                            <m:r>
                              <a:rPr lang="es-MX" sz="1400" b="0" i="1">
                                <a:solidFill>
                                  <a:schemeClr val="tx1"/>
                                </a:solidFill>
                                <a:effectLst/>
                                <a:latin typeface="Cambria Math" panose="02040503050406030204" pitchFamily="18" charset="0"/>
                                <a:ea typeface="+mn-ea"/>
                                <a:cs typeface="+mn-cs"/>
                              </a:rPr>
                              <m:t>−</m:t>
                            </m:r>
                            <m:sSub>
                              <m:sSubPr>
                                <m:ctrlPr>
                                  <a:rPr lang="es-MX" sz="1400" b="0" i="1">
                                    <a:solidFill>
                                      <a:schemeClr val="tx1"/>
                                    </a:solidFill>
                                    <a:effectLst/>
                                    <a:latin typeface="Cambria Math" panose="02040503050406030204" pitchFamily="18" charset="0"/>
                                    <a:ea typeface="+mn-ea"/>
                                    <a:cs typeface="+mn-cs"/>
                                  </a:rPr>
                                </m:ctrlPr>
                              </m:sSubPr>
                              <m:e>
                                <m:r>
                                  <a:rPr lang="es-MX" sz="1400" b="0" i="1">
                                    <a:solidFill>
                                      <a:schemeClr val="tx1"/>
                                    </a:solidFill>
                                    <a:effectLst/>
                                    <a:latin typeface="Cambria Math" panose="02040503050406030204" pitchFamily="18" charset="0"/>
                                    <a:ea typeface="+mn-ea"/>
                                    <a:cs typeface="+mn-cs"/>
                                  </a:rPr>
                                  <m:t>𝑡</m:t>
                                </m:r>
                              </m:e>
                              <m:sub>
                                <m:r>
                                  <a:rPr lang="es-MX" sz="1400" b="0" i="1">
                                    <a:solidFill>
                                      <a:schemeClr val="tx1"/>
                                    </a:solidFill>
                                    <a:effectLst/>
                                    <a:latin typeface="Cambria Math" panose="02040503050406030204" pitchFamily="18" charset="0"/>
                                    <a:ea typeface="+mn-ea"/>
                                    <a:cs typeface="+mn-cs"/>
                                  </a:rPr>
                                  <m:t>0</m:t>
                                </m:r>
                              </m:sub>
                            </m:sSub>
                          </m:e>
                        </m:d>
                      </m:e>
                    </m:d>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71" name="CuadroTexto 70">
              <a:extLst>
                <a:ext uri="{FF2B5EF4-FFF2-40B4-BE49-F238E27FC236}">
                  <a16:creationId xmlns:a16="http://schemas.microsoft.com/office/drawing/2014/main" id="{00000000-0008-0000-0200-000047000000}"/>
                </a:ext>
              </a:extLst>
            </xdr:cNvPr>
            <xdr:cNvSpPr txBox="1"/>
          </xdr:nvSpPr>
          <xdr:spPr>
            <a:xfrm>
              <a:off x="675154" y="39850920"/>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a:t>
              </a:r>
              <a:r>
                <a:rPr lang="es-MX" sz="1400" b="0" i="0">
                  <a:solidFill>
                    <a:schemeClr val="tx1"/>
                  </a:solidFill>
                  <a:effectLst/>
                  <a:latin typeface="Cambria Math" panose="02040503050406030204" pitchFamily="18" charset="0"/>
                  <a:ea typeface="+mn-ea"/>
                  <a:cs typeface="+mn-cs"/>
                </a:rPr>
                <a:t>(1−𝛾∗(𝑡−𝑡_0 )]</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1423707</xdr:colOff>
      <xdr:row>97</xdr:row>
      <xdr:rowOff>96931</xdr:rowOff>
    </xdr:from>
    <xdr:ext cx="196656" cy="210507"/>
    <mc:AlternateContent xmlns:mc="http://schemas.openxmlformats.org/markup-compatibility/2006" xmlns:a14="http://schemas.microsoft.com/office/drawing/2010/main">
      <mc:Choice Requires="a14">
        <xdr:sp macro="" textlink="">
          <xdr:nvSpPr>
            <xdr:cNvPr id="72" name="CuadroTexto 71">
              <a:extLst>
                <a:ext uri="{FF2B5EF4-FFF2-40B4-BE49-F238E27FC236}">
                  <a16:creationId xmlns:a16="http://schemas.microsoft.com/office/drawing/2014/main" xmlns="" id="{00000000-0008-0000-0200-000048000000}"/>
                </a:ext>
              </a:extLst>
            </xdr:cNvPr>
            <xdr:cNvSpPr txBox="1"/>
          </xdr:nvSpPr>
          <xdr:spPr>
            <a:xfrm>
              <a:off x="1423707" y="40415696"/>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sSub>
                      <m:sSubPr>
                        <m:ctrlPr>
                          <a:rPr lang="es-CO" sz="1400" b="0" i="1">
                            <a:solidFill>
                              <a:schemeClr val="tx1"/>
                            </a:solidFill>
                            <a:latin typeface="Cambria Math" panose="02040503050406030204" pitchFamily="18" charset="0"/>
                            <a:ea typeface="+mn-ea"/>
                            <a:cs typeface="+mn-cs"/>
                          </a:rPr>
                        </m:ctrlPr>
                      </m:sSubPr>
                      <m:e>
                        <m:r>
                          <a:rPr lang="es-MX" sz="1400" b="0" i="1">
                            <a:solidFill>
                              <a:schemeClr val="tx1"/>
                            </a:solidFill>
                            <a:latin typeface="Cambria Math" panose="02040503050406030204" pitchFamily="18" charset="0"/>
                            <a:ea typeface="+mn-ea"/>
                            <a:cs typeface="+mn-cs"/>
                          </a:rPr>
                          <m:t>𝑉</m:t>
                        </m:r>
                      </m:e>
                      <m:sub>
                        <m:r>
                          <a:rPr lang="es-MX" sz="1400" b="0" i="1">
                            <a:solidFill>
                              <a:schemeClr val="tx1"/>
                            </a:solidFill>
                            <a:latin typeface="Cambria Math" panose="02040503050406030204" pitchFamily="18" charset="0"/>
                            <a:ea typeface="+mn-ea"/>
                            <a:cs typeface="+mn-cs"/>
                          </a:rPr>
                          <m:t>𝑡</m:t>
                        </m:r>
                      </m:sub>
                    </m:sSub>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72" name="CuadroTexto 71">
              <a:extLst>
                <a:ext uri="{FF2B5EF4-FFF2-40B4-BE49-F238E27FC236}">
                  <a16:creationId xmlns:a16="http://schemas.microsoft.com/office/drawing/2014/main" id="{00000000-0008-0000-0200-000048000000}"/>
                </a:ext>
              </a:extLst>
            </xdr:cNvPr>
            <xdr:cNvSpPr txBox="1"/>
          </xdr:nvSpPr>
          <xdr:spPr>
            <a:xfrm>
              <a:off x="1423707" y="40415696"/>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𝑉</a:t>
              </a:r>
              <a:r>
                <a:rPr lang="es-CO" sz="1400" b="0" i="0">
                  <a:solidFill>
                    <a:schemeClr val="tx1"/>
                  </a:solidFill>
                  <a:latin typeface="Cambria Math" panose="02040503050406030204" pitchFamily="18" charset="0"/>
                  <a:ea typeface="+mn-ea"/>
                  <a:cs typeface="+mn-cs"/>
                </a:rPr>
                <a:t>_</a:t>
              </a:r>
              <a:r>
                <a:rPr lang="es-MX" sz="1400" b="0" i="0">
                  <a:solidFill>
                    <a:schemeClr val="tx1"/>
                  </a:solidFill>
                  <a:latin typeface="Cambria Math" panose="02040503050406030204" pitchFamily="18" charset="0"/>
                  <a:ea typeface="+mn-ea"/>
                  <a:cs typeface="+mn-cs"/>
                </a:rPr>
                <a:t>𝑡</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twoCellAnchor>
    <xdr:from>
      <xdr:col>16</xdr:col>
      <xdr:colOff>327025</xdr:colOff>
      <xdr:row>108</xdr:row>
      <xdr:rowOff>349250</xdr:rowOff>
    </xdr:from>
    <xdr:to>
      <xdr:col>28</xdr:col>
      <xdr:colOff>281781</xdr:colOff>
      <xdr:row>123</xdr:row>
      <xdr:rowOff>339725</xdr:rowOff>
    </xdr:to>
    <xdr:graphicFrame macro="">
      <xdr:nvGraphicFramePr>
        <xdr:cNvPr id="45" name="Gráfico 44">
          <a:extLst>
            <a:ext uri="{FF2B5EF4-FFF2-40B4-BE49-F238E27FC236}">
              <a16:creationId xmlns:a16="http://schemas.microsoft.com/office/drawing/2014/main" xmlns="" id="{00000000-0008-0000-02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317500</xdr:colOff>
      <xdr:row>133</xdr:row>
      <xdr:rowOff>69849</xdr:rowOff>
    </xdr:from>
    <xdr:to>
      <xdr:col>28</xdr:col>
      <xdr:colOff>257968</xdr:colOff>
      <xdr:row>146</xdr:row>
      <xdr:rowOff>68261</xdr:rowOff>
    </xdr:to>
    <xdr:graphicFrame macro="">
      <xdr:nvGraphicFramePr>
        <xdr:cNvPr id="46" name="Gráfico 45">
          <a:extLst>
            <a:ext uri="{FF2B5EF4-FFF2-40B4-BE49-F238E27FC236}">
              <a16:creationId xmlns:a16="http://schemas.microsoft.com/office/drawing/2014/main" xmlns="" id="{00000000-0008-0000-02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16</xdr:col>
      <xdr:colOff>364088</xdr:colOff>
      <xdr:row>152</xdr:row>
      <xdr:rowOff>247164</xdr:rowOff>
    </xdr:from>
    <xdr:ext cx="354328" cy="283924"/>
    <mc:AlternateContent xmlns:mc="http://schemas.openxmlformats.org/markup-compatibility/2006" xmlns:a14="http://schemas.microsoft.com/office/drawing/2010/main">
      <mc:Choice Requires="a14">
        <xdr:sp macro="" textlink="">
          <xdr:nvSpPr>
            <xdr:cNvPr id="75" name="CuadroTexto 74">
              <a:extLst>
                <a:ext uri="{FF2B5EF4-FFF2-40B4-BE49-F238E27FC236}">
                  <a16:creationId xmlns:a16="http://schemas.microsoft.com/office/drawing/2014/main" xmlns="" id="{00000000-0008-0000-0200-00004B000000}"/>
                </a:ext>
              </a:extLst>
            </xdr:cNvPr>
            <xdr:cNvSpPr txBox="1"/>
          </xdr:nvSpPr>
          <xdr:spPr>
            <a:xfrm>
              <a:off x="21338527" y="64793618"/>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type m:val="skw"/>
                        <m:ctrlPr>
                          <a:rPr lang="es-CO" sz="1100" i="1">
                            <a:latin typeface="Cambria Math" panose="02040503050406030204" pitchFamily="18" charset="0"/>
                          </a:rPr>
                        </m:ctrlPr>
                      </m:fPr>
                      <m:num>
                        <m:sSubSup>
                          <m:sSubSupPr>
                            <m:ctrlPr>
                              <a:rPr lang="es-CO" sz="1100" i="1">
                                <a:latin typeface="Cambria Math" panose="02040503050406030204" pitchFamily="18" charset="0"/>
                              </a:rPr>
                            </m:ctrlPr>
                          </m:sSubSupPr>
                          <m:e>
                            <m:r>
                              <a:rPr lang="es-CO" sz="1100" i="1">
                                <a:latin typeface="Cambria Math" panose="02040503050406030204" pitchFamily="18" charset="0"/>
                                <a:ea typeface="Cambria Math" panose="02040503050406030204" pitchFamily="18" charset="0"/>
                              </a:rPr>
                              <m:t>𝜇</m:t>
                            </m:r>
                          </m:e>
                          <m:sub>
                            <m:r>
                              <a:rPr lang="es-CO" sz="1100" b="0" i="1">
                                <a:latin typeface="Cambria Math" panose="02040503050406030204" pitchFamily="18" charset="0"/>
                              </a:rPr>
                              <m:t>𝑖</m:t>
                            </m:r>
                          </m:sub>
                          <m:sup>
                            <m:r>
                              <a:rPr lang="es-CO" sz="1100" b="0" i="1">
                                <a:latin typeface="Cambria Math" panose="02040503050406030204" pitchFamily="18" charset="0"/>
                              </a:rPr>
                              <m:t>4</m:t>
                            </m:r>
                          </m:sup>
                        </m:sSubSup>
                      </m:num>
                      <m:den>
                        <m:sSub>
                          <m:sSubPr>
                            <m:ctrlPr>
                              <a:rPr lang="es-CO" sz="1100" i="1">
                                <a:latin typeface="Cambria Math" panose="02040503050406030204" pitchFamily="18" charset="0"/>
                              </a:rPr>
                            </m:ctrlPr>
                          </m:sSubPr>
                          <m:e>
                            <m:r>
                              <a:rPr lang="es-CO" sz="1100" b="0" i="1">
                                <a:latin typeface="Cambria Math" panose="02040503050406030204" pitchFamily="18" charset="0"/>
                              </a:rPr>
                              <m:t>𝑣</m:t>
                            </m:r>
                          </m:e>
                          <m:sub>
                            <m:r>
                              <a:rPr lang="es-CO" sz="1100" b="0" i="1">
                                <a:latin typeface="Cambria Math" panose="02040503050406030204" pitchFamily="18" charset="0"/>
                              </a:rPr>
                              <m:t>𝑖</m:t>
                            </m:r>
                          </m:sub>
                        </m:sSub>
                      </m:den>
                    </m:f>
                  </m:oMath>
                </m:oMathPara>
              </a14:m>
              <a:endParaRPr lang="es-CO" sz="1100"/>
            </a:p>
          </xdr:txBody>
        </xdr:sp>
      </mc:Choice>
      <mc:Fallback xmlns="">
        <xdr:sp macro="" textlink="">
          <xdr:nvSpPr>
            <xdr:cNvPr id="75" name="CuadroTexto 74">
              <a:extLst>
                <a:ext uri="{FF2B5EF4-FFF2-40B4-BE49-F238E27FC236}">
                  <a16:creationId xmlns:a16="http://schemas.microsoft.com/office/drawing/2014/main" id="{00000000-0008-0000-0200-000015000000}"/>
                </a:ext>
              </a:extLst>
            </xdr:cNvPr>
            <xdr:cNvSpPr txBox="1"/>
          </xdr:nvSpPr>
          <xdr:spPr>
            <a:xfrm>
              <a:off x="21338527" y="64793618"/>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i="0">
                  <a:latin typeface="Cambria Math" panose="02040503050406030204" pitchFamily="18" charset="0"/>
                  <a:ea typeface="Cambria Math" panose="02040503050406030204" pitchFamily="18" charset="0"/>
                </a:rPr>
                <a:t>𝜇_</a:t>
              </a:r>
              <a:r>
                <a:rPr lang="es-CO" sz="1100" b="0" i="0">
                  <a:latin typeface="Cambria Math" panose="02040503050406030204" pitchFamily="18" charset="0"/>
                </a:rPr>
                <a:t>𝑖^4)⁄𝑣_𝑖 </a:t>
              </a:r>
              <a:endParaRPr lang="es-CO" sz="1100"/>
            </a:p>
          </xdr:txBody>
        </xdr:sp>
      </mc:Fallback>
    </mc:AlternateContent>
    <xdr:clientData/>
  </xdr:oneCellAnchor>
  <xdr:twoCellAnchor editAs="oneCell">
    <xdr:from>
      <xdr:col>2</xdr:col>
      <xdr:colOff>605488</xdr:colOff>
      <xdr:row>146</xdr:row>
      <xdr:rowOff>483394</xdr:rowOff>
    </xdr:from>
    <xdr:to>
      <xdr:col>10</xdr:col>
      <xdr:colOff>105479</xdr:colOff>
      <xdr:row>149</xdr:row>
      <xdr:rowOff>163005</xdr:rowOff>
    </xdr:to>
    <xdr:pic>
      <xdr:nvPicPr>
        <xdr:cNvPr id="77" name="Imagen 76">
          <a:extLst>
            <a:ext uri="{FF2B5EF4-FFF2-40B4-BE49-F238E27FC236}">
              <a16:creationId xmlns:a16="http://schemas.microsoft.com/office/drawing/2014/main" xmlns="" id="{00000000-0008-0000-0200-00004D000000}"/>
            </a:ext>
          </a:extLst>
        </xdr:cNvPr>
        <xdr:cNvPicPr>
          <a:picLocks noChangeAspect="1"/>
        </xdr:cNvPicPr>
      </xdr:nvPicPr>
      <xdr:blipFill>
        <a:blip xmlns:r="http://schemas.openxmlformats.org/officeDocument/2006/relationships" r:embed="rId5">
          <a:duotone>
            <a:prstClr val="black"/>
            <a:schemeClr val="accent1">
              <a:tint val="45000"/>
              <a:satMod val="400000"/>
            </a:schemeClr>
          </a:duotone>
          <a:extLst>
            <a:ext uri="{BEBA8EAE-BF5A-486C-A8C5-ECC9F3942E4B}">
              <a14:imgProps xmlns:a14="http://schemas.microsoft.com/office/drawing/2010/main">
                <a14:imgLayer r:embed="rId6">
                  <a14:imgEffect>
                    <a14:sharpenSoften amount="50000"/>
                  </a14:imgEffect>
                  <a14:imgEffect>
                    <a14:brightnessContrast contrast="-20000"/>
                  </a14:imgEffect>
                </a14:imgLayer>
              </a14:imgProps>
            </a:ext>
          </a:extLst>
        </a:blip>
        <a:stretch>
          <a:fillRect/>
        </a:stretch>
      </xdr:blipFill>
      <xdr:spPr>
        <a:xfrm>
          <a:off x="5939488" y="63657957"/>
          <a:ext cx="10096554" cy="1179798"/>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18</xdr:col>
      <xdr:colOff>222250</xdr:colOff>
      <xdr:row>152</xdr:row>
      <xdr:rowOff>0</xdr:rowOff>
    </xdr:from>
    <xdr:to>
      <xdr:col>28</xdr:col>
      <xdr:colOff>539750</xdr:colOff>
      <xdr:row>171</xdr:row>
      <xdr:rowOff>0</xdr:rowOff>
    </xdr:to>
    <xdr:graphicFrame macro="">
      <xdr:nvGraphicFramePr>
        <xdr:cNvPr id="78" name="Gráfico 77">
          <a:extLst>
            <a:ext uri="{FF2B5EF4-FFF2-40B4-BE49-F238E27FC236}">
              <a16:creationId xmlns:a16="http://schemas.microsoft.com/office/drawing/2014/main" xmlns="" id="{00000000-0008-0000-02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2140324</xdr:colOff>
      <xdr:row>0</xdr:row>
      <xdr:rowOff>33617</xdr:rowOff>
    </xdr:from>
    <xdr:to>
      <xdr:col>1</xdr:col>
      <xdr:colOff>546982</xdr:colOff>
      <xdr:row>0</xdr:row>
      <xdr:rowOff>907676</xdr:rowOff>
    </xdr:to>
    <xdr:pic>
      <xdr:nvPicPr>
        <xdr:cNvPr id="3" name="2 Imagen">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8"/>
        <a:stretch>
          <a:fillRect/>
        </a:stretch>
      </xdr:blipFill>
      <xdr:spPr>
        <a:xfrm>
          <a:off x="2140324" y="33617"/>
          <a:ext cx="1869276" cy="874059"/>
        </a:xfrm>
        <a:prstGeom prst="rect">
          <a:avLst/>
        </a:prstGeom>
      </xdr:spPr>
    </xdr:pic>
    <xdr:clientData/>
  </xdr:twoCellAnchor>
  <xdr:twoCellAnchor>
    <xdr:from>
      <xdr:col>7</xdr:col>
      <xdr:colOff>673894</xdr:colOff>
      <xdr:row>90</xdr:row>
      <xdr:rowOff>407193</xdr:rowOff>
    </xdr:from>
    <xdr:to>
      <xdr:col>13</xdr:col>
      <xdr:colOff>400050</xdr:colOff>
      <xdr:row>100</xdr:row>
      <xdr:rowOff>107155</xdr:rowOff>
    </xdr:to>
    <xdr:graphicFrame macro="">
      <xdr:nvGraphicFramePr>
        <xdr:cNvPr id="47" name="Gráfico 46">
          <a:extLst>
            <a:ext uri="{FF2B5EF4-FFF2-40B4-BE49-F238E27FC236}">
              <a16:creationId xmlns:a16="http://schemas.microsoft.com/office/drawing/2014/main" xmlns=""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226219</xdr:colOff>
      <xdr:row>77</xdr:row>
      <xdr:rowOff>107156</xdr:rowOff>
    </xdr:from>
    <xdr:to>
      <xdr:col>7</xdr:col>
      <xdr:colOff>359569</xdr:colOff>
      <xdr:row>78</xdr:row>
      <xdr:rowOff>392907</xdr:rowOff>
    </xdr:to>
    <xdr:grpSp>
      <xdr:nvGrpSpPr>
        <xdr:cNvPr id="6" name="Grupo 5">
          <a:extLst>
            <a:ext uri="{FF2B5EF4-FFF2-40B4-BE49-F238E27FC236}">
              <a16:creationId xmlns:a16="http://schemas.microsoft.com/office/drawing/2014/main" xmlns="" id="{52F3E3A8-1D33-171B-FC67-B0493EBF6228}"/>
            </a:ext>
          </a:extLst>
        </xdr:cNvPr>
        <xdr:cNvGrpSpPr/>
      </xdr:nvGrpSpPr>
      <xdr:grpSpPr>
        <a:xfrm>
          <a:off x="226219" y="31730156"/>
          <a:ext cx="12039600" cy="928689"/>
          <a:chOff x="166688" y="32706468"/>
          <a:chExt cx="12027694" cy="928689"/>
        </a:xfrm>
      </xdr:grpSpPr>
      <xdr:sp macro="" textlink="">
        <xdr:nvSpPr>
          <xdr:cNvPr id="44" name="Rectángulo redondeado 43">
            <a:extLst>
              <a:ext uri="{FF2B5EF4-FFF2-40B4-BE49-F238E27FC236}">
                <a16:creationId xmlns:a16="http://schemas.microsoft.com/office/drawing/2014/main" xmlns="" id="{00000000-0008-0000-0200-00002C000000}"/>
              </a:ext>
            </a:extLst>
          </xdr:cNvPr>
          <xdr:cNvSpPr/>
        </xdr:nvSpPr>
        <xdr:spPr>
          <a:xfrm>
            <a:off x="166688" y="32706468"/>
            <a:ext cx="12027694" cy="928689"/>
          </a:xfrm>
          <a:prstGeom prst="roundRect">
            <a:avLst/>
          </a:prstGeom>
          <a:solidFill>
            <a:schemeClr val="accent2"/>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5" name="Imagen 4">
            <a:extLst>
              <a:ext uri="{FF2B5EF4-FFF2-40B4-BE49-F238E27FC236}">
                <a16:creationId xmlns:a16="http://schemas.microsoft.com/office/drawing/2014/main" xmlns="" id="{FBA58435-183E-41ED-809F-9FEB891F061D}"/>
              </a:ext>
            </a:extLst>
          </xdr:cNvPr>
          <xdr:cNvPicPr>
            <a:picLocks noChangeAspect="1"/>
          </xdr:cNvPicPr>
        </xdr:nvPicPr>
        <xdr:blipFill rotWithShape="1">
          <a:blip xmlns:r="http://schemas.openxmlformats.org/officeDocument/2006/relationships" r:embed="rId10"/>
          <a:srcRect l="3188" t="4347" r="1223" b="6522"/>
          <a:stretch/>
        </xdr:blipFill>
        <xdr:spPr>
          <a:xfrm>
            <a:off x="1964532" y="32749954"/>
            <a:ext cx="8012906" cy="822007"/>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628650</xdr:colOff>
      <xdr:row>194</xdr:row>
      <xdr:rowOff>0</xdr:rowOff>
    </xdr:from>
    <xdr:ext cx="65" cy="172227"/>
    <xdr:sp macro="" textlink="">
      <xdr:nvSpPr>
        <xdr:cNvPr id="2" name="CuadroTexto 1">
          <a:extLst>
            <a:ext uri="{FF2B5EF4-FFF2-40B4-BE49-F238E27FC236}">
              <a16:creationId xmlns:a16="http://schemas.microsoft.com/office/drawing/2014/main" xmlns="" id="{00000000-0008-0000-0300-000002000000}"/>
            </a:ext>
          </a:extLst>
        </xdr:cNvPr>
        <xdr:cNvSpPr txBox="1"/>
      </xdr:nvSpPr>
      <xdr:spPr>
        <a:xfrm>
          <a:off x="21545550" y="81876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4</xdr:col>
      <xdr:colOff>628650</xdr:colOff>
      <xdr:row>100</xdr:row>
      <xdr:rowOff>290512</xdr:rowOff>
    </xdr:from>
    <xdr:ext cx="65" cy="172227"/>
    <xdr:sp macro="" textlink="">
      <xdr:nvSpPr>
        <xdr:cNvPr id="3" name="CuadroTexto 2">
          <a:extLst>
            <a:ext uri="{FF2B5EF4-FFF2-40B4-BE49-F238E27FC236}">
              <a16:creationId xmlns:a16="http://schemas.microsoft.com/office/drawing/2014/main" xmlns="" id="{00000000-0008-0000-0300-000003000000}"/>
            </a:ext>
          </a:extLst>
        </xdr:cNvPr>
        <xdr:cNvSpPr txBox="1"/>
      </xdr:nvSpPr>
      <xdr:spPr>
        <a:xfrm>
          <a:off x="877252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628650</xdr:colOff>
      <xdr:row>100</xdr:row>
      <xdr:rowOff>290512</xdr:rowOff>
    </xdr:from>
    <xdr:ext cx="65" cy="172227"/>
    <xdr:sp macro="" textlink="">
      <xdr:nvSpPr>
        <xdr:cNvPr id="4" name="CuadroTexto 3">
          <a:extLst>
            <a:ext uri="{FF2B5EF4-FFF2-40B4-BE49-F238E27FC236}">
              <a16:creationId xmlns:a16="http://schemas.microsoft.com/office/drawing/2014/main" xmlns="" id="{00000000-0008-0000-0300-000004000000}"/>
            </a:ext>
          </a:extLst>
        </xdr:cNvPr>
        <xdr:cNvSpPr txBox="1"/>
      </xdr:nvSpPr>
      <xdr:spPr>
        <a:xfrm>
          <a:off x="99250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6</xdr:col>
      <xdr:colOff>628650</xdr:colOff>
      <xdr:row>100</xdr:row>
      <xdr:rowOff>290512</xdr:rowOff>
    </xdr:from>
    <xdr:ext cx="65" cy="172227"/>
    <xdr:sp macro="" textlink="">
      <xdr:nvSpPr>
        <xdr:cNvPr id="5" name="CuadroTexto 4">
          <a:extLst>
            <a:ext uri="{FF2B5EF4-FFF2-40B4-BE49-F238E27FC236}">
              <a16:creationId xmlns:a16="http://schemas.microsoft.com/office/drawing/2014/main" xmlns="" id="{00000000-0008-0000-0300-000005000000}"/>
            </a:ext>
          </a:extLst>
        </xdr:cNvPr>
        <xdr:cNvSpPr txBox="1"/>
      </xdr:nvSpPr>
      <xdr:spPr>
        <a:xfrm>
          <a:off x="111061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628650</xdr:colOff>
      <xdr:row>100</xdr:row>
      <xdr:rowOff>290512</xdr:rowOff>
    </xdr:from>
    <xdr:ext cx="65" cy="172227"/>
    <xdr:sp macro="" textlink="">
      <xdr:nvSpPr>
        <xdr:cNvPr id="6" name="CuadroTexto 5">
          <a:extLst>
            <a:ext uri="{FF2B5EF4-FFF2-40B4-BE49-F238E27FC236}">
              <a16:creationId xmlns:a16="http://schemas.microsoft.com/office/drawing/2014/main" xmlns="" id="{00000000-0008-0000-0300-000006000000}"/>
            </a:ext>
          </a:extLst>
        </xdr:cNvPr>
        <xdr:cNvSpPr txBox="1"/>
      </xdr:nvSpPr>
      <xdr:spPr>
        <a:xfrm>
          <a:off x="1238250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8</xdr:col>
      <xdr:colOff>628650</xdr:colOff>
      <xdr:row>100</xdr:row>
      <xdr:rowOff>290512</xdr:rowOff>
    </xdr:from>
    <xdr:ext cx="65" cy="172227"/>
    <xdr:sp macro="" textlink="">
      <xdr:nvSpPr>
        <xdr:cNvPr id="7" name="CuadroTexto 6">
          <a:extLst>
            <a:ext uri="{FF2B5EF4-FFF2-40B4-BE49-F238E27FC236}">
              <a16:creationId xmlns:a16="http://schemas.microsoft.com/office/drawing/2014/main" xmlns="" id="{00000000-0008-0000-0300-000007000000}"/>
            </a:ext>
          </a:extLst>
        </xdr:cNvPr>
        <xdr:cNvSpPr txBox="1"/>
      </xdr:nvSpPr>
      <xdr:spPr>
        <a:xfrm>
          <a:off x="1355407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8" name="CuadroTexto 7">
          <a:extLst>
            <a:ext uri="{FF2B5EF4-FFF2-40B4-BE49-F238E27FC236}">
              <a16:creationId xmlns:a16="http://schemas.microsoft.com/office/drawing/2014/main" xmlns="" id="{00000000-0008-0000-0300-000008000000}"/>
            </a:ext>
          </a:extLst>
        </xdr:cNvPr>
        <xdr:cNvSpPr txBox="1"/>
      </xdr:nvSpPr>
      <xdr:spPr>
        <a:xfrm>
          <a:off x="1520190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9" name="CuadroTexto 8">
          <a:extLst>
            <a:ext uri="{FF2B5EF4-FFF2-40B4-BE49-F238E27FC236}">
              <a16:creationId xmlns:a16="http://schemas.microsoft.com/office/drawing/2014/main" xmlns="" id="{00000000-0008-0000-0300-000009000000}"/>
            </a:ext>
          </a:extLst>
        </xdr:cNvPr>
        <xdr:cNvSpPr txBox="1"/>
      </xdr:nvSpPr>
      <xdr:spPr>
        <a:xfrm>
          <a:off x="162496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10" name="CuadroTexto 9">
          <a:extLst>
            <a:ext uri="{FF2B5EF4-FFF2-40B4-BE49-F238E27FC236}">
              <a16:creationId xmlns:a16="http://schemas.microsoft.com/office/drawing/2014/main" xmlns="" id="{00000000-0008-0000-0300-00000A000000}"/>
            </a:ext>
          </a:extLst>
        </xdr:cNvPr>
        <xdr:cNvSpPr txBox="1"/>
      </xdr:nvSpPr>
      <xdr:spPr>
        <a:xfrm>
          <a:off x="1763077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11" name="CuadroTexto 10">
          <a:extLst>
            <a:ext uri="{FF2B5EF4-FFF2-40B4-BE49-F238E27FC236}">
              <a16:creationId xmlns:a16="http://schemas.microsoft.com/office/drawing/2014/main" xmlns="" id="{00000000-0008-0000-0300-00000B000000}"/>
            </a:ext>
          </a:extLst>
        </xdr:cNvPr>
        <xdr:cNvSpPr txBox="1"/>
      </xdr:nvSpPr>
      <xdr:spPr>
        <a:xfrm>
          <a:off x="1520190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12" name="CuadroTexto 11">
          <a:extLst>
            <a:ext uri="{FF2B5EF4-FFF2-40B4-BE49-F238E27FC236}">
              <a16:creationId xmlns:a16="http://schemas.microsoft.com/office/drawing/2014/main" xmlns="" id="{00000000-0008-0000-0300-00000C000000}"/>
            </a:ext>
          </a:extLst>
        </xdr:cNvPr>
        <xdr:cNvSpPr txBox="1"/>
      </xdr:nvSpPr>
      <xdr:spPr>
        <a:xfrm>
          <a:off x="162496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13" name="CuadroTexto 12">
          <a:extLst>
            <a:ext uri="{FF2B5EF4-FFF2-40B4-BE49-F238E27FC236}">
              <a16:creationId xmlns:a16="http://schemas.microsoft.com/office/drawing/2014/main" xmlns="" id="{00000000-0008-0000-0300-00000D000000}"/>
            </a:ext>
          </a:extLst>
        </xdr:cNvPr>
        <xdr:cNvSpPr txBox="1"/>
      </xdr:nvSpPr>
      <xdr:spPr>
        <a:xfrm>
          <a:off x="1763077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628650</xdr:colOff>
      <xdr:row>101</xdr:row>
      <xdr:rowOff>290512</xdr:rowOff>
    </xdr:from>
    <xdr:ext cx="65" cy="172227"/>
    <xdr:sp macro="" textlink="">
      <xdr:nvSpPr>
        <xdr:cNvPr id="14" name="CuadroTexto 13">
          <a:extLst>
            <a:ext uri="{FF2B5EF4-FFF2-40B4-BE49-F238E27FC236}">
              <a16:creationId xmlns:a16="http://schemas.microsoft.com/office/drawing/2014/main" xmlns="" id="{00000000-0008-0000-0300-00000E000000}"/>
            </a:ext>
          </a:extLst>
        </xdr:cNvPr>
        <xdr:cNvSpPr txBox="1"/>
      </xdr:nvSpPr>
      <xdr:spPr>
        <a:xfrm>
          <a:off x="19059525" y="44772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0</xdr:col>
      <xdr:colOff>47625</xdr:colOff>
      <xdr:row>77</xdr:row>
      <xdr:rowOff>214312</xdr:rowOff>
    </xdr:from>
    <xdr:to>
      <xdr:col>7</xdr:col>
      <xdr:colOff>180975</xdr:colOff>
      <xdr:row>78</xdr:row>
      <xdr:rowOff>500063</xdr:rowOff>
    </xdr:to>
    <xdr:sp macro="" textlink="">
      <xdr:nvSpPr>
        <xdr:cNvPr id="15" name="Rectángulo redondeado 43">
          <a:extLst>
            <a:ext uri="{FF2B5EF4-FFF2-40B4-BE49-F238E27FC236}">
              <a16:creationId xmlns:a16="http://schemas.microsoft.com/office/drawing/2014/main" xmlns="" id="{00000000-0008-0000-0300-00000F000000}"/>
            </a:ext>
          </a:extLst>
        </xdr:cNvPr>
        <xdr:cNvSpPr/>
      </xdr:nvSpPr>
      <xdr:spPr>
        <a:xfrm>
          <a:off x="47625" y="32754093"/>
          <a:ext cx="11884819" cy="928689"/>
        </a:xfrm>
        <a:prstGeom prst="roundRect">
          <a:avLst/>
        </a:prstGeom>
        <a:solidFill>
          <a:schemeClr val="accent2"/>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268433</xdr:colOff>
      <xdr:row>7</xdr:row>
      <xdr:rowOff>17316</xdr:rowOff>
    </xdr:from>
    <xdr:to>
      <xdr:col>23</xdr:col>
      <xdr:colOff>268432</xdr:colOff>
      <xdr:row>11</xdr:row>
      <xdr:rowOff>346363</xdr:rowOff>
    </xdr:to>
    <xdr:graphicFrame macro="">
      <xdr:nvGraphicFramePr>
        <xdr:cNvPr id="16" name="Gráfico 15">
          <a:extLst>
            <a:ext uri="{FF2B5EF4-FFF2-40B4-BE49-F238E27FC236}">
              <a16:creationId xmlns:a16="http://schemas.microsoft.com/office/drawing/2014/main" xmlns=""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186171</xdr:colOff>
      <xdr:row>12</xdr:row>
      <xdr:rowOff>17318</xdr:rowOff>
    </xdr:from>
    <xdr:to>
      <xdr:col>23</xdr:col>
      <xdr:colOff>238127</xdr:colOff>
      <xdr:row>16</xdr:row>
      <xdr:rowOff>371258</xdr:rowOff>
    </xdr:to>
    <xdr:graphicFrame macro="">
      <xdr:nvGraphicFramePr>
        <xdr:cNvPr id="17" name="Gráfico 16">
          <a:extLst>
            <a:ext uri="{FF2B5EF4-FFF2-40B4-BE49-F238E27FC236}">
              <a16:creationId xmlns:a16="http://schemas.microsoft.com/office/drawing/2014/main" xmlns=""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51688</xdr:colOff>
      <xdr:row>5</xdr:row>
      <xdr:rowOff>21852</xdr:rowOff>
    </xdr:from>
    <xdr:ext cx="707536" cy="23615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300-000012000000}"/>
                </a:ext>
              </a:extLst>
            </xdr:cNvPr>
            <xdr:cNvSpPr txBox="1"/>
          </xdr:nvSpPr>
          <xdr:spPr>
            <a:xfrm>
              <a:off x="15672688"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18" name="CuadroTexto 17">
              <a:extLst>
                <a:ext uri="{FF2B5EF4-FFF2-40B4-BE49-F238E27FC236}">
                  <a16:creationId xmlns:a16="http://schemas.microsoft.com/office/drawing/2014/main" id="{123F3297-89FF-4E99-A67B-21B4DBAABDAB}"/>
                </a:ext>
              </a:extLst>
            </xdr:cNvPr>
            <xdr:cNvSpPr txBox="1"/>
          </xdr:nvSpPr>
          <xdr:spPr>
            <a:xfrm>
              <a:off x="15672688"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〖(𝜹〗_(𝒅𝒓𝒊𝒇𝒕 ))</a:t>
              </a:r>
              <a:endParaRPr lang="es-CO" sz="1400" b="1"/>
            </a:p>
          </xdr:txBody>
        </xdr:sp>
      </mc:Fallback>
    </mc:AlternateContent>
    <xdr:clientData/>
  </xdr:oneCellAnchor>
  <xdr:oneCellAnchor>
    <xdr:from>
      <xdr:col>0</xdr:col>
      <xdr:colOff>400050</xdr:colOff>
      <xdr:row>71</xdr:row>
      <xdr:rowOff>200025</xdr:rowOff>
    </xdr:from>
    <xdr:ext cx="492507" cy="438325"/>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300-000013000000}"/>
                </a:ext>
              </a:extLst>
            </xdr:cNvPr>
            <xdr:cNvSpPr txBox="1"/>
          </xdr:nvSpPr>
          <xdr:spPr>
            <a:xfrm>
              <a:off x="400050" y="297275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panose="02040503050406030204" pitchFamily="18" charset="0"/>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𝑨</m:t>
                        </m:r>
                      </m:sub>
                    </m:sSub>
                  </m:oMath>
                </m:oMathPara>
              </a14:m>
              <a:endParaRPr lang="es-CO" sz="2800" b="1"/>
            </a:p>
          </xdr:txBody>
        </xdr:sp>
      </mc:Choice>
      <mc:Fallback xmlns="">
        <xdr:sp macro="" textlink="">
          <xdr:nvSpPr>
            <xdr:cNvPr id="19" name="CuadroTexto 18">
              <a:extLst>
                <a:ext uri="{FF2B5EF4-FFF2-40B4-BE49-F238E27FC236}">
                  <a16:creationId xmlns:a16="http://schemas.microsoft.com/office/drawing/2014/main" id="{FAF3033C-885B-4F0C-985C-FFB05DD4ACB6}"/>
                </a:ext>
              </a:extLst>
            </xdr:cNvPr>
            <xdr:cNvSpPr txBox="1"/>
          </xdr:nvSpPr>
          <xdr:spPr>
            <a:xfrm>
              <a:off x="400050" y="297275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𝑨</a:t>
              </a:r>
              <a:endParaRPr lang="es-CO" sz="2800" b="1"/>
            </a:p>
          </xdr:txBody>
        </xdr:sp>
      </mc:Fallback>
    </mc:AlternateContent>
    <xdr:clientData/>
  </xdr:oneCellAnchor>
  <xdr:oneCellAnchor>
    <xdr:from>
      <xdr:col>0</xdr:col>
      <xdr:colOff>2014538</xdr:colOff>
      <xdr:row>77</xdr:row>
      <xdr:rowOff>261932</xdr:rowOff>
    </xdr:from>
    <xdr:ext cx="7762875" cy="80603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300-000014000000}"/>
                </a:ext>
              </a:extLst>
            </xdr:cNvPr>
            <xdr:cNvSpPr txBox="1"/>
          </xdr:nvSpPr>
          <xdr:spPr>
            <a:xfrm>
              <a:off x="2014538" y="32827907"/>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2400" i="1">
                            <a:latin typeface="Cambria Math" panose="02040503050406030204" pitchFamily="18" charset="0"/>
                          </a:rPr>
                        </m:ctrlPr>
                      </m:sSubPr>
                      <m:e>
                        <m:r>
                          <a:rPr lang="es-MX" sz="2400" b="0" i="1">
                            <a:latin typeface="Cambria Math" panose="02040503050406030204" pitchFamily="18" charset="0"/>
                          </a:rPr>
                          <m:t>𝑉</m:t>
                        </m:r>
                      </m:e>
                      <m:sub>
                        <m:r>
                          <a:rPr lang="es-MX" sz="2400" b="0" i="1">
                            <a:latin typeface="Cambria Math" panose="02040503050406030204" pitchFamily="18" charset="0"/>
                          </a:rPr>
                          <m:t>0</m:t>
                        </m:r>
                      </m:sub>
                    </m:sSub>
                    <m:r>
                      <a:rPr lang="es-MX" sz="2400" b="0" i="1">
                        <a:latin typeface="Cambria Math" panose="02040503050406030204" pitchFamily="18" charset="0"/>
                      </a:rPr>
                      <m:t>=</m:t>
                    </m:r>
                    <m:d>
                      <m:dPr>
                        <m:ctrlPr>
                          <a:rPr lang="es-MX" sz="2400" b="0" i="1">
                            <a:latin typeface="Cambria Math" panose="02040503050406030204" pitchFamily="18" charset="0"/>
                          </a:rPr>
                        </m:ctrlPr>
                      </m:dPr>
                      <m:e>
                        <m:sSub>
                          <m:sSubPr>
                            <m:ctrlPr>
                              <a:rPr lang="es-MX" sz="2400" b="0" i="1">
                                <a:latin typeface="Cambria Math" panose="02040503050406030204" pitchFamily="18" charset="0"/>
                              </a:rPr>
                            </m:ctrlPr>
                          </m:sSubPr>
                          <m:e>
                            <m:r>
                              <a:rPr lang="es-MX" sz="2400" b="0" i="1">
                                <a:latin typeface="Cambria Math" panose="02040503050406030204" pitchFamily="18" charset="0"/>
                              </a:rPr>
                              <m:t>𝐼</m:t>
                            </m:r>
                          </m:e>
                          <m:sub>
                            <m:r>
                              <a:rPr lang="es-MX" sz="2400" b="0" i="1">
                                <a:latin typeface="Cambria Math" panose="02040503050406030204" pitchFamily="18" charset="0"/>
                              </a:rPr>
                              <m:t>𝐿</m:t>
                            </m:r>
                          </m:sub>
                        </m:sSub>
                        <m:r>
                          <a:rPr lang="es-MX" sz="2400" b="0" i="1">
                            <a:latin typeface="Cambria Math" panose="02040503050406030204" pitchFamily="18" charset="0"/>
                          </a:rPr>
                          <m:t>−</m:t>
                        </m:r>
                        <m:sSub>
                          <m:sSubPr>
                            <m:ctrlPr>
                              <a:rPr lang="es-MX" sz="2400" b="0" i="1">
                                <a:latin typeface="Cambria Math" panose="02040503050406030204" pitchFamily="18" charset="0"/>
                              </a:rPr>
                            </m:ctrlPr>
                          </m:sSubPr>
                          <m:e>
                            <m:r>
                              <a:rPr lang="es-MX" sz="2400" b="0" i="1">
                                <a:latin typeface="Cambria Math" panose="02040503050406030204" pitchFamily="18" charset="0"/>
                              </a:rPr>
                              <m:t>𝐼</m:t>
                            </m:r>
                          </m:e>
                          <m:sub>
                            <m:r>
                              <a:rPr lang="es-MX" sz="2400" b="0" i="1">
                                <a:latin typeface="Cambria Math" panose="02040503050406030204" pitchFamily="18" charset="0"/>
                              </a:rPr>
                              <m:t>𝐸</m:t>
                            </m:r>
                          </m:sub>
                        </m:sSub>
                      </m:e>
                    </m:d>
                    <m:r>
                      <a:rPr lang="es-MX" sz="2400" b="0" i="1">
                        <a:latin typeface="Cambria Math" panose="02040503050406030204" pitchFamily="18" charset="0"/>
                      </a:rPr>
                      <m:t>∗</m:t>
                    </m:r>
                    <m:f>
                      <m:fPr>
                        <m:ctrlPr>
                          <a:rPr lang="es-MX" sz="2400" b="0" i="1">
                            <a:latin typeface="Cambria Math" panose="02040503050406030204" pitchFamily="18" charset="0"/>
                          </a:rPr>
                        </m:ctrlPr>
                      </m:fPr>
                      <m:num>
                        <m:r>
                          <a:rPr lang="es-MX" sz="2400" b="0" i="1">
                            <a:latin typeface="Cambria Math" panose="02040503050406030204" pitchFamily="18" charset="0"/>
                          </a:rPr>
                          <m:t>1</m:t>
                        </m:r>
                      </m:num>
                      <m:den>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𝑊</m:t>
                            </m:r>
                          </m:sub>
                        </m:sSub>
                        <m:r>
                          <a:rPr lang="es-MX" sz="2400" b="0" i="1">
                            <a:latin typeface="Cambria Math" panose="02040503050406030204" pitchFamily="18" charset="0"/>
                          </a:rPr>
                          <m:t>−</m:t>
                        </m:r>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den>
                    </m:f>
                    <m:r>
                      <a:rPr lang="es-MX" sz="2400" b="0" i="1">
                        <a:latin typeface="Cambria Math" panose="02040503050406030204" pitchFamily="18" charset="0"/>
                      </a:rPr>
                      <m:t>∗</m:t>
                    </m:r>
                    <m:d>
                      <m:dPr>
                        <m:ctrlPr>
                          <a:rPr lang="es-MX" sz="2400" b="0" i="1">
                            <a:latin typeface="Cambria Math" panose="02040503050406030204" pitchFamily="18" charset="0"/>
                          </a:rPr>
                        </m:ctrlPr>
                      </m:dPr>
                      <m:e>
                        <m:r>
                          <a:rPr lang="es-MX" sz="2400" b="0" i="1">
                            <a:latin typeface="Cambria Math" panose="02040503050406030204" pitchFamily="18" charset="0"/>
                          </a:rPr>
                          <m:t>1−</m:t>
                        </m:r>
                        <m:f>
                          <m:fPr>
                            <m:ctrlPr>
                              <a:rPr lang="es-MX" sz="2400" b="0" i="1">
                                <a:latin typeface="Cambria Math" panose="02040503050406030204" pitchFamily="18" charset="0"/>
                              </a:rPr>
                            </m:ctrlPr>
                          </m:fPr>
                          <m:num>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num>
                          <m:den>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𝐵</m:t>
                                </m:r>
                              </m:sub>
                            </m:sSub>
                          </m:den>
                        </m:f>
                      </m:e>
                    </m:d>
                    <m:r>
                      <a:rPr lang="es-MX" sz="2400" b="0" i="1">
                        <a:latin typeface="Cambria Math" panose="02040503050406030204" pitchFamily="18" charset="0"/>
                      </a:rPr>
                      <m:t>∗</m:t>
                    </m:r>
                    <m:d>
                      <m:dPr>
                        <m:begChr m:val="["/>
                        <m:endChr m:val="]"/>
                        <m:ctrlPr>
                          <a:rPr lang="es-MX" sz="2400" b="0" i="1">
                            <a:latin typeface="Cambria Math" panose="02040503050406030204" pitchFamily="18" charset="0"/>
                          </a:rPr>
                        </m:ctrlPr>
                      </m:dPr>
                      <m:e>
                        <m:r>
                          <a:rPr lang="es-MX" sz="2400" b="0" i="1">
                            <a:latin typeface="Cambria Math" panose="02040503050406030204" pitchFamily="18" charset="0"/>
                          </a:rPr>
                          <m:t>1−</m:t>
                        </m:r>
                        <m:r>
                          <a:rPr lang="es-MX" sz="2400" b="0" i="1">
                            <a:latin typeface="Cambria Math" panose="02040503050406030204" pitchFamily="18" charset="0"/>
                            <a:ea typeface="Cambria Math" panose="02040503050406030204" pitchFamily="18" charset="0"/>
                          </a:rPr>
                          <m:t>𝛾</m:t>
                        </m:r>
                        <m:d>
                          <m:dPr>
                            <m:ctrlPr>
                              <a:rPr lang="es-MX" sz="2400" b="0" i="1">
                                <a:latin typeface="Cambria Math" panose="02040503050406030204" pitchFamily="18" charset="0"/>
                                <a:ea typeface="Cambria Math" panose="02040503050406030204" pitchFamily="18" charset="0"/>
                              </a:rPr>
                            </m:ctrlPr>
                          </m:dPr>
                          <m:e>
                            <m:r>
                              <a:rPr lang="es-MX" sz="2400" b="0" i="1">
                                <a:latin typeface="Cambria Math" panose="02040503050406030204" pitchFamily="18" charset="0"/>
                                <a:ea typeface="Cambria Math" panose="02040503050406030204" pitchFamily="18" charset="0"/>
                              </a:rPr>
                              <m:t>𝑡</m:t>
                            </m:r>
                            <m:r>
                              <a:rPr lang="es-MX" sz="2400" b="0" i="1">
                                <a:latin typeface="Cambria Math" panose="02040503050406030204" pitchFamily="18" charset="0"/>
                                <a:ea typeface="Cambria Math" panose="02040503050406030204" pitchFamily="18" charset="0"/>
                              </a:rPr>
                              <m:t>−</m:t>
                            </m:r>
                            <m:sSub>
                              <m:sSubPr>
                                <m:ctrlPr>
                                  <a:rPr lang="es-MX" sz="2400" b="0" i="1">
                                    <a:latin typeface="Cambria Math" panose="02040503050406030204" pitchFamily="18" charset="0"/>
                                    <a:ea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𝑡</m:t>
                                </m:r>
                              </m:e>
                              <m:sub>
                                <m:r>
                                  <a:rPr lang="es-MX" sz="2400" b="0" i="1">
                                    <a:latin typeface="Cambria Math" panose="02040503050406030204" pitchFamily="18" charset="0"/>
                                    <a:ea typeface="Cambria Math" panose="02040503050406030204" pitchFamily="18" charset="0"/>
                                  </a:rPr>
                                  <m:t>0</m:t>
                                </m:r>
                              </m:sub>
                            </m:sSub>
                          </m:e>
                        </m:d>
                      </m:e>
                    </m:d>
                  </m:oMath>
                </m:oMathPara>
              </a14:m>
              <a:endParaRPr lang="es-CO" sz="2400"/>
            </a:p>
          </xdr:txBody>
        </xdr:sp>
      </mc:Choice>
      <mc:Fallback xmlns="">
        <xdr:sp macro="" textlink="">
          <xdr:nvSpPr>
            <xdr:cNvPr id="20" name="CuadroTexto 19">
              <a:extLst>
                <a:ext uri="{FF2B5EF4-FFF2-40B4-BE49-F238E27FC236}">
                  <a16:creationId xmlns:a16="http://schemas.microsoft.com/office/drawing/2014/main" id="{36AB431E-53BE-4683-99D4-87CBB2F42658}"/>
                </a:ext>
              </a:extLst>
            </xdr:cNvPr>
            <xdr:cNvSpPr txBox="1"/>
          </xdr:nvSpPr>
          <xdr:spPr>
            <a:xfrm>
              <a:off x="2014538" y="32827907"/>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2400" b="0" i="0">
                  <a:latin typeface="Cambria Math" panose="02040503050406030204" pitchFamily="18" charset="0"/>
                </a:rPr>
                <a:t>𝑉</a:t>
              </a:r>
              <a:r>
                <a:rPr lang="es-CO" sz="2400" b="0" i="0">
                  <a:latin typeface="Cambria Math" panose="02040503050406030204" pitchFamily="18" charset="0"/>
                </a:rPr>
                <a:t>_</a:t>
              </a:r>
              <a:r>
                <a:rPr lang="es-MX" sz="2400" b="0" i="0">
                  <a:latin typeface="Cambria Math" panose="02040503050406030204" pitchFamily="18" charset="0"/>
                </a:rPr>
                <a:t>0=(𝐼_𝐿−𝐼_𝐸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𝑊−</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𝐵 )∗[1−</a:t>
              </a:r>
              <a:r>
                <a:rPr lang="es-MX" sz="2400" b="0" i="0">
                  <a:latin typeface="Cambria Math" panose="02040503050406030204" pitchFamily="18" charset="0"/>
                  <a:ea typeface="Cambria Math" panose="02040503050406030204" pitchFamily="18" charset="0"/>
                </a:rPr>
                <a:t>𝛾(𝑡−𝑡_0 )]</a:t>
              </a:r>
              <a:endParaRPr lang="es-CO" sz="2400"/>
            </a:p>
          </xdr:txBody>
        </xdr:sp>
      </mc:Fallback>
    </mc:AlternateContent>
    <xdr:clientData/>
  </xdr:oneCellAnchor>
  <xdr:oneCellAnchor>
    <xdr:from>
      <xdr:col>0</xdr:col>
      <xdr:colOff>1000128</xdr:colOff>
      <xdr:row>90</xdr:row>
      <xdr:rowOff>47615</xdr:rowOff>
    </xdr:from>
    <xdr:ext cx="388824" cy="43832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00000000-0008-0000-0300-000015000000}"/>
                </a:ext>
              </a:extLst>
            </xdr:cNvPr>
            <xdr:cNvSpPr txBox="1"/>
          </xdr:nvSpPr>
          <xdr:spPr>
            <a:xfrm>
              <a:off x="1000128" y="39662090"/>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MX" sz="2800" b="0" i="1">
                            <a:latin typeface="Cambria Math" panose="02040503050406030204" pitchFamily="18" charset="0"/>
                          </a:rPr>
                          <m:t>𝐼</m:t>
                        </m:r>
                      </m:e>
                      <m:sub>
                        <m:r>
                          <a:rPr lang="es-MX" sz="2800" b="0" i="1">
                            <a:latin typeface="Cambria Math" panose="02040503050406030204" pitchFamily="18" charset="0"/>
                          </a:rPr>
                          <m:t>𝐸</m:t>
                        </m:r>
                      </m:sub>
                    </m:sSub>
                  </m:oMath>
                </m:oMathPara>
              </a14:m>
              <a:endParaRPr lang="es-CO" sz="2800"/>
            </a:p>
          </xdr:txBody>
        </xdr:sp>
      </mc:Choice>
      <mc:Fallback xmlns="">
        <xdr:sp macro="" textlink="">
          <xdr:nvSpPr>
            <xdr:cNvPr id="21" name="CuadroTexto 20">
              <a:extLst>
                <a:ext uri="{FF2B5EF4-FFF2-40B4-BE49-F238E27FC236}">
                  <a16:creationId xmlns:a16="http://schemas.microsoft.com/office/drawing/2014/main" id="{3F20BFD6-C108-4FA1-9213-710C42DC818C}"/>
                </a:ext>
              </a:extLst>
            </xdr:cNvPr>
            <xdr:cNvSpPr txBox="1"/>
          </xdr:nvSpPr>
          <xdr:spPr>
            <a:xfrm>
              <a:off x="1000128" y="39662090"/>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𝐸</a:t>
              </a:r>
              <a:endParaRPr lang="es-CO" sz="2800"/>
            </a:p>
          </xdr:txBody>
        </xdr:sp>
      </mc:Fallback>
    </mc:AlternateContent>
    <xdr:clientData/>
  </xdr:oneCellAnchor>
  <xdr:oneCellAnchor>
    <xdr:from>
      <xdr:col>0</xdr:col>
      <xdr:colOff>1005869</xdr:colOff>
      <xdr:row>91</xdr:row>
      <xdr:rowOff>161498</xdr:rowOff>
    </xdr:from>
    <xdr:ext cx="1074974" cy="266611"/>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300-000016000000}"/>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𝐼</m:t>
                        </m:r>
                      </m:e>
                      <m:sub>
                        <m:r>
                          <a:rPr lang="es-MX" sz="1600" b="0" i="1">
                            <a:latin typeface="Cambria Math" panose="02040503050406030204" pitchFamily="18" charset="0"/>
                          </a:rPr>
                          <m:t>𝐸</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22" name="CuadroTexto 21">
              <a:extLst>
                <a:ext uri="{FF2B5EF4-FFF2-40B4-BE49-F238E27FC236}">
                  <a16:creationId xmlns:a16="http://schemas.microsoft.com/office/drawing/2014/main" id="{7D6DBFBD-849A-4A2A-AEFD-34D7F3DBD9AB}"/>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𝐸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1249458</xdr:colOff>
      <xdr:row>84</xdr:row>
      <xdr:rowOff>58831</xdr:rowOff>
    </xdr:from>
    <xdr:ext cx="361509" cy="438325"/>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300-000017000000}"/>
                </a:ext>
              </a:extLst>
            </xdr:cNvPr>
            <xdr:cNvSpPr txBox="1"/>
          </xdr:nvSpPr>
          <xdr:spPr>
            <a:xfrm>
              <a:off x="1249458" y="36472906"/>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MX" sz="2800" b="0" i="1">
                            <a:latin typeface="Cambria Math" panose="02040503050406030204" pitchFamily="18" charset="0"/>
                          </a:rPr>
                          <m:t>𝐼</m:t>
                        </m:r>
                      </m:e>
                      <m:sub>
                        <m:r>
                          <a:rPr lang="es-MX" sz="2800" b="0" i="1">
                            <a:latin typeface="Cambria Math" panose="02040503050406030204" pitchFamily="18" charset="0"/>
                          </a:rPr>
                          <m:t>𝐿</m:t>
                        </m:r>
                      </m:sub>
                    </m:sSub>
                  </m:oMath>
                </m:oMathPara>
              </a14:m>
              <a:endParaRPr lang="es-CO" sz="2800"/>
            </a:p>
          </xdr:txBody>
        </xdr:sp>
      </mc:Choice>
      <mc:Fallback xmlns="">
        <xdr:sp macro="" textlink="">
          <xdr:nvSpPr>
            <xdr:cNvPr id="23" name="CuadroTexto 22">
              <a:extLst>
                <a:ext uri="{FF2B5EF4-FFF2-40B4-BE49-F238E27FC236}">
                  <a16:creationId xmlns:a16="http://schemas.microsoft.com/office/drawing/2014/main" id="{0D9FE38D-9D9C-4362-8B75-D7D790C3966F}"/>
                </a:ext>
              </a:extLst>
            </xdr:cNvPr>
            <xdr:cNvSpPr txBox="1"/>
          </xdr:nvSpPr>
          <xdr:spPr>
            <a:xfrm>
              <a:off x="1249458" y="36472906"/>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𝐿</a:t>
              </a:r>
              <a:endParaRPr lang="es-CO" sz="2800"/>
            </a:p>
          </xdr:txBody>
        </xdr:sp>
      </mc:Fallback>
    </mc:AlternateContent>
    <xdr:clientData/>
  </xdr:oneCellAnchor>
  <xdr:oneCellAnchor>
    <xdr:from>
      <xdr:col>0</xdr:col>
      <xdr:colOff>1194269</xdr:colOff>
      <xdr:row>85</xdr:row>
      <xdr:rowOff>118082</xdr:rowOff>
    </xdr:from>
    <xdr:ext cx="1059393" cy="266611"/>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300-000018000000}"/>
                </a:ext>
              </a:extLst>
            </xdr:cNvPr>
            <xdr:cNvSpPr txBox="1"/>
          </xdr:nvSpPr>
          <xdr:spPr>
            <a:xfrm>
              <a:off x="1194269" y="37065557"/>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𝐼</m:t>
                        </m:r>
                      </m:e>
                      <m:sub>
                        <m:r>
                          <a:rPr lang="es-MX" sz="1600" b="0" i="1">
                            <a:latin typeface="Cambria Math" panose="02040503050406030204" pitchFamily="18" charset="0"/>
                          </a:rPr>
                          <m:t>𝐿</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24" name="CuadroTexto 23">
              <a:extLst>
                <a:ext uri="{FF2B5EF4-FFF2-40B4-BE49-F238E27FC236}">
                  <a16:creationId xmlns:a16="http://schemas.microsoft.com/office/drawing/2014/main" id="{64FFCD65-98DE-4DB2-B2F0-9AD53A3B4A6E}"/>
                </a:ext>
              </a:extLst>
            </xdr:cNvPr>
            <xdr:cNvSpPr txBox="1"/>
          </xdr:nvSpPr>
          <xdr:spPr>
            <a:xfrm>
              <a:off x="1194269" y="37065557"/>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𝐿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1178020</xdr:colOff>
      <xdr:row>86</xdr:row>
      <xdr:rowOff>34322</xdr:rowOff>
    </xdr:from>
    <xdr:ext cx="231602" cy="438325"/>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0300-000019000000}"/>
                </a:ext>
              </a:extLst>
            </xdr:cNvPr>
            <xdr:cNvSpPr txBox="1"/>
          </xdr:nvSpPr>
          <xdr:spPr>
            <a:xfrm>
              <a:off x="1178020" y="37515197"/>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2800" b="0" i="1">
                        <a:latin typeface="Cambria Math" panose="02040503050406030204" pitchFamily="18" charset="0"/>
                      </a:rPr>
                      <m:t>𝑡</m:t>
                    </m:r>
                  </m:oMath>
                </m:oMathPara>
              </a14:m>
              <a:endParaRPr lang="es-CO" sz="2800"/>
            </a:p>
          </xdr:txBody>
        </xdr:sp>
      </mc:Choice>
      <mc:Fallback xmlns="">
        <xdr:sp macro="" textlink="">
          <xdr:nvSpPr>
            <xdr:cNvPr id="25" name="CuadroTexto 24">
              <a:extLst>
                <a:ext uri="{FF2B5EF4-FFF2-40B4-BE49-F238E27FC236}">
                  <a16:creationId xmlns:a16="http://schemas.microsoft.com/office/drawing/2014/main" id="{0D3472C4-ED49-4E8A-B022-A3A0A8021FE0}"/>
                </a:ext>
              </a:extLst>
            </xdr:cNvPr>
            <xdr:cNvSpPr txBox="1"/>
          </xdr:nvSpPr>
          <xdr:spPr>
            <a:xfrm>
              <a:off x="1178020" y="37515197"/>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𝑡</a:t>
              </a:r>
              <a:endParaRPr lang="es-CO" sz="2800"/>
            </a:p>
          </xdr:txBody>
        </xdr:sp>
      </mc:Fallback>
    </mc:AlternateContent>
    <xdr:clientData/>
  </xdr:oneCellAnchor>
  <xdr:oneCellAnchor>
    <xdr:from>
      <xdr:col>0</xdr:col>
      <xdr:colOff>1185860</xdr:colOff>
      <xdr:row>87</xdr:row>
      <xdr:rowOff>137700</xdr:rowOff>
    </xdr:from>
    <xdr:ext cx="985590" cy="266611"/>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300-00001A000000}"/>
                </a:ext>
              </a:extLst>
            </xdr:cNvPr>
            <xdr:cNvSpPr txBox="1"/>
          </xdr:nvSpPr>
          <xdr:spPr>
            <a:xfrm>
              <a:off x="1185860" y="38151975"/>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𝑡</m:t>
                        </m:r>
                      </m:e>
                      <m:sub>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26" name="CuadroTexto 25">
              <a:extLst>
                <a:ext uri="{FF2B5EF4-FFF2-40B4-BE49-F238E27FC236}">
                  <a16:creationId xmlns:a16="http://schemas.microsoft.com/office/drawing/2014/main" id="{894DE384-CBA4-4FA8-9C78-F62BCF314C08}"/>
                </a:ext>
              </a:extLst>
            </xdr:cNvPr>
            <xdr:cNvSpPr txBox="1"/>
          </xdr:nvSpPr>
          <xdr:spPr>
            <a:xfrm>
              <a:off x="1185860" y="38151975"/>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1054894</xdr:colOff>
      <xdr:row>92</xdr:row>
      <xdr:rowOff>92869</xdr:rowOff>
    </xdr:from>
    <xdr:ext cx="219547" cy="25045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300-00001B000000}"/>
                </a:ext>
              </a:extLst>
            </xdr:cNvPr>
            <xdr:cNvSpPr txBox="1"/>
          </xdr:nvSpPr>
          <xdr:spPr>
            <a:xfrm>
              <a:off x="1054894" y="40774144"/>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𝑡</m:t>
                        </m:r>
                      </m:e>
                      <m:sub>
                        <m:r>
                          <a:rPr lang="es-MX" sz="1600" b="0" i="1">
                            <a:latin typeface="Cambria Math" panose="02040503050406030204" pitchFamily="18" charset="0"/>
                          </a:rPr>
                          <m:t>0</m:t>
                        </m:r>
                      </m:sub>
                    </m:sSub>
                  </m:oMath>
                </m:oMathPara>
              </a14:m>
              <a:endParaRPr lang="es-CO" sz="1600"/>
            </a:p>
          </xdr:txBody>
        </xdr:sp>
      </mc:Choice>
      <mc:Fallback xmlns="">
        <xdr:sp macro="" textlink="">
          <xdr:nvSpPr>
            <xdr:cNvPr id="27" name="CuadroTexto 26">
              <a:extLst>
                <a:ext uri="{FF2B5EF4-FFF2-40B4-BE49-F238E27FC236}">
                  <a16:creationId xmlns:a16="http://schemas.microsoft.com/office/drawing/2014/main" id="{79460A08-03C6-4204-853E-0523F347903E}"/>
                </a:ext>
              </a:extLst>
            </xdr:cNvPr>
            <xdr:cNvSpPr txBox="1"/>
          </xdr:nvSpPr>
          <xdr:spPr>
            <a:xfrm>
              <a:off x="1054894" y="40774144"/>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0</a:t>
              </a:r>
              <a:endParaRPr lang="es-CO" sz="1600"/>
            </a:p>
          </xdr:txBody>
        </xdr:sp>
      </mc:Fallback>
    </mc:AlternateContent>
    <xdr:clientData/>
  </xdr:oneCellAnchor>
  <xdr:oneCellAnchor>
    <xdr:from>
      <xdr:col>0</xdr:col>
      <xdr:colOff>257175</xdr:colOff>
      <xdr:row>75</xdr:row>
      <xdr:rowOff>304800</xdr:rowOff>
    </xdr:from>
    <xdr:ext cx="576825" cy="43832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300-00001C000000}"/>
                </a:ext>
              </a:extLst>
            </xdr:cNvPr>
            <xdr:cNvSpPr txBox="1"/>
          </xdr:nvSpPr>
          <xdr:spPr>
            <a:xfrm>
              <a:off x="257175" y="31556325"/>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panose="02040503050406030204" pitchFamily="18" charset="0"/>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𝑾</m:t>
                        </m:r>
                      </m:sub>
                    </m:sSub>
                  </m:oMath>
                </m:oMathPara>
              </a14:m>
              <a:endParaRPr lang="es-CO" sz="2800" b="1"/>
            </a:p>
          </xdr:txBody>
        </xdr:sp>
      </mc:Choice>
      <mc:Fallback xmlns="">
        <xdr:sp macro="" textlink="">
          <xdr:nvSpPr>
            <xdr:cNvPr id="28" name="CuadroTexto 27">
              <a:extLst>
                <a:ext uri="{FF2B5EF4-FFF2-40B4-BE49-F238E27FC236}">
                  <a16:creationId xmlns:a16="http://schemas.microsoft.com/office/drawing/2014/main" id="{86D69622-88CF-4A1C-915F-C554A19A6170}"/>
                </a:ext>
              </a:extLst>
            </xdr:cNvPr>
            <xdr:cNvSpPr txBox="1"/>
          </xdr:nvSpPr>
          <xdr:spPr>
            <a:xfrm>
              <a:off x="257175" y="31556325"/>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𝑾</a:t>
              </a:r>
              <a:endParaRPr lang="es-CO" sz="2800" b="1"/>
            </a:p>
          </xdr:txBody>
        </xdr:sp>
      </mc:Fallback>
    </mc:AlternateContent>
    <xdr:clientData/>
  </xdr:oneCellAnchor>
  <xdr:oneCellAnchor>
    <xdr:from>
      <xdr:col>0</xdr:col>
      <xdr:colOff>381000</xdr:colOff>
      <xdr:row>93</xdr:row>
      <xdr:rowOff>47625</xdr:rowOff>
    </xdr:from>
    <xdr:ext cx="65" cy="438325"/>
    <xdr:sp macro="" textlink="">
      <xdr:nvSpPr>
        <xdr:cNvPr id="29" name="CuadroTexto 28">
          <a:extLst>
            <a:ext uri="{FF2B5EF4-FFF2-40B4-BE49-F238E27FC236}">
              <a16:creationId xmlns:a16="http://schemas.microsoft.com/office/drawing/2014/main" xmlns="" id="{00000000-0008-0000-0300-00001D000000}"/>
            </a:ext>
          </a:extLst>
        </xdr:cNvPr>
        <xdr:cNvSpPr txBox="1"/>
      </xdr:nvSpPr>
      <xdr:spPr>
        <a:xfrm>
          <a:off x="381000" y="41109900"/>
          <a:ext cx="6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2800"/>
        </a:p>
      </xdr:txBody>
    </xdr:sp>
    <xdr:clientData/>
  </xdr:oneCellAnchor>
  <xdr:oneCellAnchor>
    <xdr:from>
      <xdr:col>0</xdr:col>
      <xdr:colOff>919582</xdr:colOff>
      <xdr:row>93</xdr:row>
      <xdr:rowOff>60932</xdr:rowOff>
    </xdr:from>
    <xdr:ext cx="896656" cy="281808"/>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0300-00001E000000}"/>
                </a:ext>
              </a:extLst>
            </xdr:cNvPr>
            <xdr:cNvSpPr txBox="1"/>
          </xdr:nvSpPr>
          <xdr:spPr>
            <a:xfrm>
              <a:off x="919582" y="41123207"/>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MX" sz="1800" b="0" i="1">
                            <a:latin typeface="Cambria Math" panose="02040503050406030204" pitchFamily="18" charset="0"/>
                          </a:rPr>
                        </m:ctrlPr>
                      </m:dPr>
                      <m:e>
                        <m:sSub>
                          <m:sSubPr>
                            <m:ctrlPr>
                              <a:rPr lang="es-CO" sz="1800" i="1">
                                <a:solidFill>
                                  <a:schemeClr val="tx1"/>
                                </a:solidFill>
                                <a:effectLst/>
                                <a:latin typeface="Cambria Math" panose="02040503050406030204" pitchFamily="18" charset="0"/>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𝐿</m:t>
                            </m:r>
                          </m:sub>
                        </m:sSub>
                        <m:r>
                          <a:rPr lang="es-MX" sz="1800" b="0" i="1">
                            <a:solidFill>
                              <a:schemeClr val="tx1"/>
                            </a:solidFill>
                            <a:effectLst/>
                            <a:latin typeface="Cambria Math" panose="02040503050406030204" pitchFamily="18" charset="0"/>
                            <a:ea typeface="+mn-ea"/>
                            <a:cs typeface="+mn-cs"/>
                          </a:rPr>
                          <m:t>−</m:t>
                        </m:r>
                        <m:sSub>
                          <m:sSubPr>
                            <m:ctrlPr>
                              <a:rPr lang="es-MX" sz="1800" b="0" i="1">
                                <a:solidFill>
                                  <a:schemeClr val="tx1"/>
                                </a:solidFill>
                                <a:effectLst/>
                                <a:latin typeface="Cambria Math" panose="02040503050406030204" pitchFamily="18" charset="0"/>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𝐸</m:t>
                            </m:r>
                          </m:sub>
                        </m:sSub>
                      </m:e>
                    </m:d>
                  </m:oMath>
                </m:oMathPara>
              </a14:m>
              <a:endParaRPr lang="es-CO" sz="1800"/>
            </a:p>
          </xdr:txBody>
        </xdr:sp>
      </mc:Choice>
      <mc:Fallback xmlns="">
        <xdr:sp macro="" textlink="">
          <xdr:nvSpPr>
            <xdr:cNvPr id="30" name="CuadroTexto 29">
              <a:extLst>
                <a:ext uri="{FF2B5EF4-FFF2-40B4-BE49-F238E27FC236}">
                  <a16:creationId xmlns:a16="http://schemas.microsoft.com/office/drawing/2014/main" id="{A97B6B24-080E-4038-942F-4F7A6DF1CB87}"/>
                </a:ext>
              </a:extLst>
            </xdr:cNvPr>
            <xdr:cNvSpPr txBox="1"/>
          </xdr:nvSpPr>
          <xdr:spPr>
            <a:xfrm>
              <a:off x="919582" y="41123207"/>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a:t>
              </a:r>
              <a:r>
                <a:rPr lang="es-MX" sz="1800" b="0" i="0">
                  <a:solidFill>
                    <a:schemeClr val="tx1"/>
                  </a:solidFill>
                  <a:effectLst/>
                  <a:latin typeface="Cambria Math" panose="02040503050406030204" pitchFamily="18" charset="0"/>
                  <a:ea typeface="+mn-ea"/>
                  <a:cs typeface="+mn-cs"/>
                </a:rPr>
                <a:t>𝐼</a:t>
              </a:r>
              <a:r>
                <a:rPr lang="es-CO" sz="1800" b="0" i="0">
                  <a:solidFill>
                    <a:schemeClr val="tx1"/>
                  </a:solidFill>
                  <a:effectLst/>
                  <a:latin typeface="Cambria Math" panose="02040503050406030204" pitchFamily="18" charset="0"/>
                  <a:ea typeface="+mn-ea"/>
                  <a:cs typeface="+mn-cs"/>
                </a:rPr>
                <a:t>_</a:t>
              </a:r>
              <a:r>
                <a:rPr lang="es-MX" sz="1800" b="0" i="0">
                  <a:solidFill>
                    <a:schemeClr val="tx1"/>
                  </a:solidFill>
                  <a:effectLst/>
                  <a:latin typeface="Cambria Math" panose="02040503050406030204" pitchFamily="18" charset="0"/>
                  <a:ea typeface="+mn-ea"/>
                  <a:cs typeface="+mn-cs"/>
                </a:rPr>
                <a:t>𝐿−𝐼_𝐸 )</a:t>
              </a:r>
              <a:endParaRPr lang="es-CO" sz="1800"/>
            </a:p>
          </xdr:txBody>
        </xdr:sp>
      </mc:Fallback>
    </mc:AlternateContent>
    <xdr:clientData/>
  </xdr:oneCellAnchor>
  <xdr:oneCellAnchor>
    <xdr:from>
      <xdr:col>0</xdr:col>
      <xdr:colOff>1028700</xdr:colOff>
      <xdr:row>94</xdr:row>
      <xdr:rowOff>76200</xdr:rowOff>
    </xdr:from>
    <xdr:ext cx="694100" cy="380361"/>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300-00001F000000}"/>
                </a:ext>
              </a:extLst>
            </xdr:cNvPr>
            <xdr:cNvSpPr txBox="1"/>
          </xdr:nvSpPr>
          <xdr:spPr>
            <a:xfrm>
              <a:off x="1028700" y="41519475"/>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panose="02040503050406030204" pitchFamily="18" charset="0"/>
                            <a:ea typeface="+mn-ea"/>
                            <a:cs typeface="+mn-cs"/>
                          </a:rPr>
                        </m:ctrlPr>
                      </m:dPr>
                      <m:e>
                        <m:f>
                          <m:fPr>
                            <m:ctrlPr>
                              <a:rPr lang="es-MX" sz="1100" b="0" i="1">
                                <a:solidFill>
                                  <a:schemeClr val="tx1"/>
                                </a:solidFill>
                                <a:latin typeface="Cambria Math" panose="02040503050406030204" pitchFamily="18" charset="0"/>
                                <a:ea typeface="+mn-ea"/>
                                <a:cs typeface="+mn-cs"/>
                              </a:rPr>
                            </m:ctrlPr>
                          </m:fPr>
                          <m:num>
                            <m:r>
                              <a:rPr lang="es-MX" sz="1100" b="0" i="1">
                                <a:solidFill>
                                  <a:schemeClr val="tx1"/>
                                </a:solidFill>
                                <a:latin typeface="Cambria Math" panose="02040503050406030204" pitchFamily="18" charset="0"/>
                                <a:ea typeface="+mn-ea"/>
                                <a:cs typeface="+mn-cs"/>
                              </a:rPr>
                              <m:t>1</m:t>
                            </m:r>
                          </m:num>
                          <m:den>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𝑊</m:t>
                                </m:r>
                              </m:sub>
                            </m:sSub>
                            <m:r>
                              <a:rPr lang="es-MX" sz="1100" b="0" i="1">
                                <a:solidFill>
                                  <a:schemeClr val="tx1"/>
                                </a:solidFill>
                                <a:latin typeface="Cambria Math" panose="02040503050406030204" pitchFamily="18" charset="0"/>
                                <a:ea typeface="+mn-ea"/>
                                <a:cs typeface="+mn-cs"/>
                              </a:rPr>
                              <m:t>−</m:t>
                            </m:r>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𝐴</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31" name="CuadroTexto 30">
              <a:extLst>
                <a:ext uri="{FF2B5EF4-FFF2-40B4-BE49-F238E27FC236}">
                  <a16:creationId xmlns:a16="http://schemas.microsoft.com/office/drawing/2014/main" id="{4DA0104B-28DE-4B0A-8D18-6950138C079A}"/>
                </a:ext>
              </a:extLst>
            </xdr:cNvPr>
            <xdr:cNvSpPr txBox="1"/>
          </xdr:nvSpPr>
          <xdr:spPr>
            <a:xfrm>
              <a:off x="1028700" y="41519475"/>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(1/(𝜌_𝑊−𝜌_𝐴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1039905</xdr:colOff>
      <xdr:row>95</xdr:row>
      <xdr:rowOff>177052</xdr:rowOff>
    </xdr:from>
    <xdr:ext cx="592663" cy="380361"/>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300-000020000000}"/>
                </a:ext>
              </a:extLst>
            </xdr:cNvPr>
            <xdr:cNvSpPr txBox="1"/>
          </xdr:nvSpPr>
          <xdr:spPr>
            <a:xfrm>
              <a:off x="1039905" y="42048952"/>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panose="02040503050406030204" pitchFamily="18" charset="0"/>
                            <a:ea typeface="+mn-ea"/>
                            <a:cs typeface="+mn-cs"/>
                          </a:rPr>
                        </m:ctrlPr>
                      </m:dPr>
                      <m:e>
                        <m:r>
                          <a:rPr lang="es-MX" sz="1100" b="0" i="1">
                            <a:solidFill>
                              <a:schemeClr val="tx1"/>
                            </a:solidFill>
                            <a:latin typeface="Cambria Math" panose="02040503050406030204" pitchFamily="18" charset="0"/>
                            <a:ea typeface="+mn-ea"/>
                            <a:cs typeface="+mn-cs"/>
                          </a:rPr>
                          <m:t>1−</m:t>
                        </m:r>
                        <m:f>
                          <m:fPr>
                            <m:ctrlPr>
                              <a:rPr lang="es-MX" sz="1100" b="0" i="1">
                                <a:solidFill>
                                  <a:schemeClr val="tx1"/>
                                </a:solidFill>
                                <a:latin typeface="Cambria Math" panose="02040503050406030204" pitchFamily="18" charset="0"/>
                                <a:ea typeface="+mn-ea"/>
                                <a:cs typeface="+mn-cs"/>
                              </a:rPr>
                            </m:ctrlPr>
                          </m:fPr>
                          <m:num>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𝐴</m:t>
                                </m:r>
                              </m:sub>
                            </m:sSub>
                          </m:num>
                          <m:den>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𝐵</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32" name="CuadroTexto 31">
              <a:extLst>
                <a:ext uri="{FF2B5EF4-FFF2-40B4-BE49-F238E27FC236}">
                  <a16:creationId xmlns:a16="http://schemas.microsoft.com/office/drawing/2014/main" id="{DC53F5EB-5F45-4CE3-810A-E5198BBC4890}"/>
                </a:ext>
              </a:extLst>
            </xdr:cNvPr>
            <xdr:cNvSpPr txBox="1"/>
          </xdr:nvSpPr>
          <xdr:spPr>
            <a:xfrm>
              <a:off x="1039905" y="42048952"/>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_𝐴/</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_𝐵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675154</xdr:colOff>
      <xdr:row>96</xdr:row>
      <xdr:rowOff>282949</xdr:rowOff>
    </xdr:from>
    <xdr:ext cx="1408271" cy="210507"/>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0300-000021000000}"/>
                </a:ext>
              </a:extLst>
            </xdr:cNvPr>
            <xdr:cNvSpPr txBox="1"/>
          </xdr:nvSpPr>
          <xdr:spPr>
            <a:xfrm>
              <a:off x="675154" y="42726349"/>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begChr m:val="["/>
                        <m:endChr m:val="]"/>
                        <m:ctrlPr>
                          <a:rPr lang="es-MX" sz="1400" b="0" i="1">
                            <a:solidFill>
                              <a:schemeClr val="tx1"/>
                            </a:solidFill>
                            <a:latin typeface="Cambria Math" panose="02040503050406030204" pitchFamily="18" charset="0"/>
                            <a:ea typeface="+mn-ea"/>
                            <a:cs typeface="+mn-cs"/>
                          </a:rPr>
                        </m:ctrlPr>
                      </m:dPr>
                      <m:e>
                        <m:d>
                          <m:dPr>
                            <m:ctrlPr>
                              <a:rPr lang="es-MX" sz="1400" b="0" i="1">
                                <a:solidFill>
                                  <a:schemeClr val="tx1"/>
                                </a:solidFill>
                                <a:effectLst/>
                                <a:latin typeface="Cambria Math" panose="02040503050406030204" pitchFamily="18" charset="0"/>
                                <a:ea typeface="+mn-ea"/>
                                <a:cs typeface="+mn-cs"/>
                              </a:rPr>
                            </m:ctrlPr>
                          </m:dPr>
                          <m:e>
                            <m:r>
                              <a:rPr lang="es-MX" sz="1400" b="0" i="1">
                                <a:solidFill>
                                  <a:schemeClr val="tx1"/>
                                </a:solidFill>
                                <a:effectLst/>
                                <a:latin typeface="Cambria Math" panose="02040503050406030204" pitchFamily="18" charset="0"/>
                                <a:ea typeface="+mn-ea"/>
                                <a:cs typeface="+mn-cs"/>
                              </a:rPr>
                              <m:t>1−</m:t>
                            </m:r>
                            <m:r>
                              <a:rPr lang="es-MX" sz="1400" b="0" i="1">
                                <a:solidFill>
                                  <a:schemeClr val="tx1"/>
                                </a:solidFill>
                                <a:effectLst/>
                                <a:latin typeface="Cambria Math" panose="02040503050406030204" pitchFamily="18" charset="0"/>
                                <a:ea typeface="+mn-ea"/>
                                <a:cs typeface="+mn-cs"/>
                              </a:rPr>
                              <m:t>𝛾</m:t>
                            </m:r>
                            <m:r>
                              <a:rPr lang="es-MX" sz="1400" b="0" i="1">
                                <a:solidFill>
                                  <a:schemeClr val="tx1"/>
                                </a:solidFill>
                                <a:effectLst/>
                                <a:latin typeface="Cambria Math" panose="02040503050406030204" pitchFamily="18" charset="0"/>
                                <a:ea typeface="+mn-ea"/>
                                <a:cs typeface="+mn-cs"/>
                              </a:rPr>
                              <m:t>∗(</m:t>
                            </m:r>
                            <m:r>
                              <a:rPr lang="es-MX" sz="1400" b="0" i="1">
                                <a:solidFill>
                                  <a:schemeClr val="tx1"/>
                                </a:solidFill>
                                <a:effectLst/>
                                <a:latin typeface="Cambria Math" panose="02040503050406030204" pitchFamily="18" charset="0"/>
                                <a:ea typeface="+mn-ea"/>
                                <a:cs typeface="+mn-cs"/>
                              </a:rPr>
                              <m:t>𝑡</m:t>
                            </m:r>
                            <m:r>
                              <a:rPr lang="es-MX" sz="1400" b="0" i="1">
                                <a:solidFill>
                                  <a:schemeClr val="tx1"/>
                                </a:solidFill>
                                <a:effectLst/>
                                <a:latin typeface="Cambria Math" panose="02040503050406030204" pitchFamily="18" charset="0"/>
                                <a:ea typeface="+mn-ea"/>
                                <a:cs typeface="+mn-cs"/>
                              </a:rPr>
                              <m:t>−</m:t>
                            </m:r>
                            <m:sSub>
                              <m:sSubPr>
                                <m:ctrlPr>
                                  <a:rPr lang="es-MX" sz="1400" b="0" i="1">
                                    <a:solidFill>
                                      <a:schemeClr val="tx1"/>
                                    </a:solidFill>
                                    <a:effectLst/>
                                    <a:latin typeface="Cambria Math" panose="02040503050406030204" pitchFamily="18" charset="0"/>
                                    <a:ea typeface="+mn-ea"/>
                                    <a:cs typeface="+mn-cs"/>
                                  </a:rPr>
                                </m:ctrlPr>
                              </m:sSubPr>
                              <m:e>
                                <m:r>
                                  <a:rPr lang="es-MX" sz="1400" b="0" i="1">
                                    <a:solidFill>
                                      <a:schemeClr val="tx1"/>
                                    </a:solidFill>
                                    <a:effectLst/>
                                    <a:latin typeface="Cambria Math" panose="02040503050406030204" pitchFamily="18" charset="0"/>
                                    <a:ea typeface="+mn-ea"/>
                                    <a:cs typeface="+mn-cs"/>
                                  </a:rPr>
                                  <m:t>𝑡</m:t>
                                </m:r>
                              </m:e>
                              <m:sub>
                                <m:r>
                                  <a:rPr lang="es-MX" sz="1400" b="0" i="1">
                                    <a:solidFill>
                                      <a:schemeClr val="tx1"/>
                                    </a:solidFill>
                                    <a:effectLst/>
                                    <a:latin typeface="Cambria Math" panose="02040503050406030204" pitchFamily="18" charset="0"/>
                                    <a:ea typeface="+mn-ea"/>
                                    <a:cs typeface="+mn-cs"/>
                                  </a:rPr>
                                  <m:t>0</m:t>
                                </m:r>
                              </m:sub>
                            </m:sSub>
                          </m:e>
                        </m:d>
                      </m:e>
                    </m:d>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33" name="CuadroTexto 32">
              <a:extLst>
                <a:ext uri="{FF2B5EF4-FFF2-40B4-BE49-F238E27FC236}">
                  <a16:creationId xmlns:a16="http://schemas.microsoft.com/office/drawing/2014/main" id="{77102ABD-EBD5-4DED-B3D9-79FFF4CE4ABA}"/>
                </a:ext>
              </a:extLst>
            </xdr:cNvPr>
            <xdr:cNvSpPr txBox="1"/>
          </xdr:nvSpPr>
          <xdr:spPr>
            <a:xfrm>
              <a:off x="675154" y="42726349"/>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a:t>
              </a:r>
              <a:r>
                <a:rPr lang="es-MX" sz="1400" b="0" i="0">
                  <a:solidFill>
                    <a:schemeClr val="tx1"/>
                  </a:solidFill>
                  <a:effectLst/>
                  <a:latin typeface="Cambria Math" panose="02040503050406030204" pitchFamily="18" charset="0"/>
                  <a:ea typeface="+mn-ea"/>
                  <a:cs typeface="+mn-cs"/>
                </a:rPr>
                <a:t>(1−𝛾∗(𝑡−𝑡_0 )]</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1423707</xdr:colOff>
      <xdr:row>97</xdr:row>
      <xdr:rowOff>96931</xdr:rowOff>
    </xdr:from>
    <xdr:ext cx="196656" cy="210507"/>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300-000022000000}"/>
                </a:ext>
              </a:extLst>
            </xdr:cNvPr>
            <xdr:cNvSpPr txBox="1"/>
          </xdr:nvSpPr>
          <xdr:spPr>
            <a:xfrm>
              <a:off x="1423707" y="43111831"/>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sSub>
                      <m:sSubPr>
                        <m:ctrlPr>
                          <a:rPr lang="es-CO" sz="1400" b="0" i="1">
                            <a:solidFill>
                              <a:schemeClr val="tx1"/>
                            </a:solidFill>
                            <a:latin typeface="Cambria Math" panose="02040503050406030204" pitchFamily="18" charset="0"/>
                            <a:ea typeface="+mn-ea"/>
                            <a:cs typeface="+mn-cs"/>
                          </a:rPr>
                        </m:ctrlPr>
                      </m:sSubPr>
                      <m:e>
                        <m:r>
                          <a:rPr lang="es-MX" sz="1400" b="0" i="1">
                            <a:solidFill>
                              <a:schemeClr val="tx1"/>
                            </a:solidFill>
                            <a:latin typeface="Cambria Math" panose="02040503050406030204" pitchFamily="18" charset="0"/>
                            <a:ea typeface="+mn-ea"/>
                            <a:cs typeface="+mn-cs"/>
                          </a:rPr>
                          <m:t>𝑉</m:t>
                        </m:r>
                      </m:e>
                      <m:sub>
                        <m:r>
                          <a:rPr lang="es-MX" sz="1400" b="0" i="1">
                            <a:solidFill>
                              <a:schemeClr val="tx1"/>
                            </a:solidFill>
                            <a:latin typeface="Cambria Math" panose="02040503050406030204" pitchFamily="18" charset="0"/>
                            <a:ea typeface="+mn-ea"/>
                            <a:cs typeface="+mn-cs"/>
                          </a:rPr>
                          <m:t>𝑡</m:t>
                        </m:r>
                      </m:sub>
                    </m:sSub>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34" name="CuadroTexto 33">
              <a:extLst>
                <a:ext uri="{FF2B5EF4-FFF2-40B4-BE49-F238E27FC236}">
                  <a16:creationId xmlns:a16="http://schemas.microsoft.com/office/drawing/2014/main" id="{8669847C-6FEE-44DA-810D-0F569158A55A}"/>
                </a:ext>
              </a:extLst>
            </xdr:cNvPr>
            <xdr:cNvSpPr txBox="1"/>
          </xdr:nvSpPr>
          <xdr:spPr>
            <a:xfrm>
              <a:off x="1423707" y="43111831"/>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𝑉</a:t>
              </a:r>
              <a:r>
                <a:rPr lang="es-CO" sz="1400" b="0" i="0">
                  <a:solidFill>
                    <a:schemeClr val="tx1"/>
                  </a:solidFill>
                  <a:latin typeface="Cambria Math" panose="02040503050406030204" pitchFamily="18" charset="0"/>
                  <a:ea typeface="+mn-ea"/>
                  <a:cs typeface="+mn-cs"/>
                </a:rPr>
                <a:t>_</a:t>
              </a:r>
              <a:r>
                <a:rPr lang="es-MX" sz="1400" b="0" i="0">
                  <a:solidFill>
                    <a:schemeClr val="tx1"/>
                  </a:solidFill>
                  <a:latin typeface="Cambria Math" panose="02040503050406030204" pitchFamily="18" charset="0"/>
                  <a:ea typeface="+mn-ea"/>
                  <a:cs typeface="+mn-cs"/>
                </a:rPr>
                <a:t>𝑡</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twoCellAnchor>
    <xdr:from>
      <xdr:col>16</xdr:col>
      <xdr:colOff>422275</xdr:colOff>
      <xdr:row>109</xdr:row>
      <xdr:rowOff>31750</xdr:rowOff>
    </xdr:from>
    <xdr:to>
      <xdr:col>28</xdr:col>
      <xdr:colOff>377031</xdr:colOff>
      <xdr:row>123</xdr:row>
      <xdr:rowOff>403225</xdr:rowOff>
    </xdr:to>
    <xdr:graphicFrame macro="">
      <xdr:nvGraphicFramePr>
        <xdr:cNvPr id="35" name="Gráfico 34">
          <a:extLst>
            <a:ext uri="{FF2B5EF4-FFF2-40B4-BE49-F238E27FC236}">
              <a16:creationId xmlns:a16="http://schemas.microsoft.com/office/drawing/2014/main" xmlns="" id="{00000000-0008-0000-03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381000</xdr:colOff>
      <xdr:row>133</xdr:row>
      <xdr:rowOff>6349</xdr:rowOff>
    </xdr:from>
    <xdr:to>
      <xdr:col>28</xdr:col>
      <xdr:colOff>321468</xdr:colOff>
      <xdr:row>146</xdr:row>
      <xdr:rowOff>4761</xdr:rowOff>
    </xdr:to>
    <xdr:graphicFrame macro="">
      <xdr:nvGraphicFramePr>
        <xdr:cNvPr id="36" name="Gráfico 35">
          <a:extLst>
            <a:ext uri="{FF2B5EF4-FFF2-40B4-BE49-F238E27FC236}">
              <a16:creationId xmlns:a16="http://schemas.microsoft.com/office/drawing/2014/main" xmlns="" id="{00000000-0008-0000-03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16</xdr:col>
      <xdr:colOff>364088</xdr:colOff>
      <xdr:row>152</xdr:row>
      <xdr:rowOff>247164</xdr:rowOff>
    </xdr:from>
    <xdr:ext cx="354328" cy="28392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300-000025000000}"/>
                </a:ext>
              </a:extLst>
            </xdr:cNvPr>
            <xdr:cNvSpPr txBox="1"/>
          </xdr:nvSpPr>
          <xdr:spPr>
            <a:xfrm>
              <a:off x="24614738" y="66541164"/>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type m:val="skw"/>
                        <m:ctrlPr>
                          <a:rPr lang="es-CO" sz="1100" i="1">
                            <a:latin typeface="Cambria Math" panose="02040503050406030204" pitchFamily="18" charset="0"/>
                          </a:rPr>
                        </m:ctrlPr>
                      </m:fPr>
                      <m:num>
                        <m:sSubSup>
                          <m:sSubSupPr>
                            <m:ctrlPr>
                              <a:rPr lang="es-CO" sz="1100" i="1">
                                <a:latin typeface="Cambria Math" panose="02040503050406030204" pitchFamily="18" charset="0"/>
                              </a:rPr>
                            </m:ctrlPr>
                          </m:sSubSupPr>
                          <m:e>
                            <m:r>
                              <a:rPr lang="es-CO" sz="1100" i="1">
                                <a:latin typeface="Cambria Math" panose="02040503050406030204" pitchFamily="18" charset="0"/>
                                <a:ea typeface="Cambria Math" panose="02040503050406030204" pitchFamily="18" charset="0"/>
                              </a:rPr>
                              <m:t>𝜇</m:t>
                            </m:r>
                          </m:e>
                          <m:sub>
                            <m:r>
                              <a:rPr lang="es-CO" sz="1100" b="0" i="1">
                                <a:latin typeface="Cambria Math" panose="02040503050406030204" pitchFamily="18" charset="0"/>
                              </a:rPr>
                              <m:t>𝑖</m:t>
                            </m:r>
                          </m:sub>
                          <m:sup>
                            <m:r>
                              <a:rPr lang="es-CO" sz="1100" b="0" i="1">
                                <a:latin typeface="Cambria Math" panose="02040503050406030204" pitchFamily="18" charset="0"/>
                              </a:rPr>
                              <m:t>4</m:t>
                            </m:r>
                          </m:sup>
                        </m:sSubSup>
                      </m:num>
                      <m:den>
                        <m:sSub>
                          <m:sSubPr>
                            <m:ctrlPr>
                              <a:rPr lang="es-CO" sz="1100" i="1">
                                <a:latin typeface="Cambria Math" panose="02040503050406030204" pitchFamily="18" charset="0"/>
                              </a:rPr>
                            </m:ctrlPr>
                          </m:sSubPr>
                          <m:e>
                            <m:r>
                              <a:rPr lang="es-CO" sz="1100" b="0" i="1">
                                <a:latin typeface="Cambria Math" panose="02040503050406030204" pitchFamily="18" charset="0"/>
                              </a:rPr>
                              <m:t>𝑣</m:t>
                            </m:r>
                          </m:e>
                          <m:sub>
                            <m:r>
                              <a:rPr lang="es-CO" sz="1100" b="0" i="1">
                                <a:latin typeface="Cambria Math" panose="02040503050406030204" pitchFamily="18" charset="0"/>
                              </a:rPr>
                              <m:t>𝑖</m:t>
                            </m:r>
                          </m:sub>
                        </m:sSub>
                      </m:den>
                    </m:f>
                  </m:oMath>
                </m:oMathPara>
              </a14:m>
              <a:endParaRPr lang="es-CO" sz="1100"/>
            </a:p>
          </xdr:txBody>
        </xdr:sp>
      </mc:Choice>
      <mc:Fallback xmlns="">
        <xdr:sp macro="" textlink="">
          <xdr:nvSpPr>
            <xdr:cNvPr id="37" name="CuadroTexto 36">
              <a:extLst>
                <a:ext uri="{FF2B5EF4-FFF2-40B4-BE49-F238E27FC236}">
                  <a16:creationId xmlns:a16="http://schemas.microsoft.com/office/drawing/2014/main" id="{FCAB97DC-40CE-465D-99A4-B1BFB3A0C297}"/>
                </a:ext>
              </a:extLst>
            </xdr:cNvPr>
            <xdr:cNvSpPr txBox="1"/>
          </xdr:nvSpPr>
          <xdr:spPr>
            <a:xfrm>
              <a:off x="24614738" y="66541164"/>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i="0">
                  <a:latin typeface="Cambria Math" panose="02040503050406030204" pitchFamily="18" charset="0"/>
                  <a:ea typeface="Cambria Math" panose="02040503050406030204" pitchFamily="18" charset="0"/>
                </a:rPr>
                <a:t>𝜇_</a:t>
              </a:r>
              <a:r>
                <a:rPr lang="es-CO" sz="1100" b="0" i="0">
                  <a:latin typeface="Cambria Math" panose="02040503050406030204" pitchFamily="18" charset="0"/>
                </a:rPr>
                <a:t>𝑖^4)⁄𝑣_𝑖 </a:t>
              </a:r>
              <a:endParaRPr lang="es-CO" sz="1100"/>
            </a:p>
          </xdr:txBody>
        </xdr:sp>
      </mc:Fallback>
    </mc:AlternateContent>
    <xdr:clientData/>
  </xdr:oneCellAnchor>
  <xdr:twoCellAnchor editAs="oneCell">
    <xdr:from>
      <xdr:col>2</xdr:col>
      <xdr:colOff>1303194</xdr:colOff>
      <xdr:row>148</xdr:row>
      <xdr:rowOff>37234</xdr:rowOff>
    </xdr:from>
    <xdr:to>
      <xdr:col>8</xdr:col>
      <xdr:colOff>1555988</xdr:colOff>
      <xdr:row>149</xdr:row>
      <xdr:rowOff>314323</xdr:rowOff>
    </xdr:to>
    <xdr:pic>
      <xdr:nvPicPr>
        <xdr:cNvPr id="38" name="Imagen 37">
          <a:extLst>
            <a:ext uri="{FF2B5EF4-FFF2-40B4-BE49-F238E27FC236}">
              <a16:creationId xmlns:a16="http://schemas.microsoft.com/office/drawing/2014/main" xmlns="" id="{00000000-0008-0000-0300-000026000000}"/>
            </a:ext>
          </a:extLst>
        </xdr:cNvPr>
        <xdr:cNvPicPr>
          <a:picLocks noChangeAspect="1"/>
        </xdr:cNvPicPr>
      </xdr:nvPicPr>
      <xdr:blipFill>
        <a:blip xmlns:r="http://schemas.openxmlformats.org/officeDocument/2006/relationships" r:embed="rId5">
          <a:duotone>
            <a:prstClr val="black"/>
            <a:schemeClr val="accent1">
              <a:tint val="45000"/>
              <a:satMod val="400000"/>
            </a:schemeClr>
          </a:duotone>
          <a:extLst>
            <a:ext uri="{BEBA8EAE-BF5A-486C-A8C5-ECC9F3942E4B}">
              <a14:imgProps xmlns:a14="http://schemas.microsoft.com/office/drawing/2010/main">
                <a14:imgLayer r:embed="rId6">
                  <a14:imgEffect>
                    <a14:sharpenSoften amount="50000"/>
                  </a14:imgEffect>
                  <a14:imgEffect>
                    <a14:brightnessContrast bright="-20000" contrast="40000"/>
                  </a14:imgEffect>
                </a14:imgLayer>
              </a14:imgProps>
            </a:ext>
          </a:extLst>
        </a:blip>
        <a:stretch>
          <a:fillRect/>
        </a:stretch>
      </xdr:blipFill>
      <xdr:spPr>
        <a:xfrm>
          <a:off x="6637194" y="64311934"/>
          <a:ext cx="7844219" cy="78191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18</xdr:col>
      <xdr:colOff>254000</xdr:colOff>
      <xdr:row>152</xdr:row>
      <xdr:rowOff>0</xdr:rowOff>
    </xdr:from>
    <xdr:to>
      <xdr:col>30</xdr:col>
      <xdr:colOff>476250</xdr:colOff>
      <xdr:row>171</xdr:row>
      <xdr:rowOff>0</xdr:rowOff>
    </xdr:to>
    <xdr:graphicFrame macro="">
      <xdr:nvGraphicFramePr>
        <xdr:cNvPr id="39" name="Gráfico 38">
          <a:extLst>
            <a:ext uri="{FF2B5EF4-FFF2-40B4-BE49-F238E27FC236}">
              <a16:creationId xmlns:a16="http://schemas.microsoft.com/office/drawing/2014/main" xmlns="" id="{00000000-0008-0000-03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1511674</xdr:colOff>
      <xdr:row>0</xdr:row>
      <xdr:rowOff>81243</xdr:rowOff>
    </xdr:from>
    <xdr:to>
      <xdr:col>0</xdr:col>
      <xdr:colOff>3385432</xdr:colOff>
      <xdr:row>0</xdr:row>
      <xdr:rowOff>838201</xdr:rowOff>
    </xdr:to>
    <xdr:pic>
      <xdr:nvPicPr>
        <xdr:cNvPr id="40" name="2 Imagen">
          <a:extLst>
            <a:ext uri="{FF2B5EF4-FFF2-40B4-BE49-F238E27FC236}">
              <a16:creationId xmlns:a16="http://schemas.microsoft.com/office/drawing/2014/main" xmlns="" id="{00000000-0008-0000-0300-000028000000}"/>
            </a:ext>
          </a:extLst>
        </xdr:cNvPr>
        <xdr:cNvPicPr>
          <a:picLocks noChangeAspect="1"/>
        </xdr:cNvPicPr>
      </xdr:nvPicPr>
      <xdr:blipFill>
        <a:blip xmlns:r="http://schemas.openxmlformats.org/officeDocument/2006/relationships" r:embed="rId8"/>
        <a:stretch>
          <a:fillRect/>
        </a:stretch>
      </xdr:blipFill>
      <xdr:spPr>
        <a:xfrm>
          <a:off x="1511674" y="81243"/>
          <a:ext cx="1873758" cy="756958"/>
        </a:xfrm>
        <a:prstGeom prst="rect">
          <a:avLst/>
        </a:prstGeom>
      </xdr:spPr>
    </xdr:pic>
    <xdr:clientData/>
  </xdr:twoCellAnchor>
  <xdr:twoCellAnchor>
    <xdr:from>
      <xdr:col>7</xdr:col>
      <xdr:colOff>273843</xdr:colOff>
      <xdr:row>90</xdr:row>
      <xdr:rowOff>250031</xdr:rowOff>
    </xdr:from>
    <xdr:to>
      <xdr:col>12</xdr:col>
      <xdr:colOff>1297780</xdr:colOff>
      <xdr:row>99</xdr:row>
      <xdr:rowOff>273843</xdr:rowOff>
    </xdr:to>
    <xdr:graphicFrame macro="">
      <xdr:nvGraphicFramePr>
        <xdr:cNvPr id="41" name="Gráfico 40">
          <a:extLst>
            <a:ext uri="{FF2B5EF4-FFF2-40B4-BE49-F238E27FC236}">
              <a16:creationId xmlns:a16="http://schemas.microsoft.com/office/drawing/2014/main" xmlns="" id="{00000000-0008-0000-03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107951</xdr:colOff>
      <xdr:row>16</xdr:row>
      <xdr:rowOff>3175</xdr:rowOff>
    </xdr:from>
    <xdr:to>
      <xdr:col>7</xdr:col>
      <xdr:colOff>244475</xdr:colOff>
      <xdr:row>18</xdr:row>
      <xdr:rowOff>704850</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40000"/>
                  </a14:imgEffect>
                </a14:imgLayer>
              </a14:imgProps>
            </a:ext>
          </a:extLst>
        </a:blip>
        <a:stretch>
          <a:fillRect/>
        </a:stretch>
      </xdr:blipFill>
      <xdr:spPr>
        <a:xfrm>
          <a:off x="7051676" y="5870575"/>
          <a:ext cx="1517649" cy="11684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7</xdr:col>
      <xdr:colOff>612775</xdr:colOff>
      <xdr:row>15</xdr:row>
      <xdr:rowOff>52613</xdr:rowOff>
    </xdr:from>
    <xdr:to>
      <xdr:col>10</xdr:col>
      <xdr:colOff>367483</xdr:colOff>
      <xdr:row>16</xdr:row>
      <xdr:rowOff>260238</xdr:rowOff>
    </xdr:to>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rightnessContrast bright="-40000" contrast="20000"/>
                  </a14:imgEffect>
                </a14:imgLayer>
              </a14:imgProps>
            </a:ext>
          </a:extLst>
        </a:blip>
        <a:stretch>
          <a:fillRect/>
        </a:stretch>
      </xdr:blipFill>
      <xdr:spPr>
        <a:xfrm>
          <a:off x="8937625" y="5729513"/>
          <a:ext cx="3612333" cy="5124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7</xdr:col>
      <xdr:colOff>647700</xdr:colOff>
      <xdr:row>19</xdr:row>
      <xdr:rowOff>117475</xdr:rowOff>
    </xdr:from>
    <xdr:to>
      <xdr:col>10</xdr:col>
      <xdr:colOff>422275</xdr:colOff>
      <xdr:row>19</xdr:row>
      <xdr:rowOff>704804</xdr:rowOff>
    </xdr:to>
    <xdr:pic>
      <xdr:nvPicPr>
        <xdr:cNvPr id="4" name="Imagen 3">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brightnessContrast bright="-40000" contrast="20000"/>
                  </a14:imgEffect>
                </a14:imgLayer>
              </a14:imgProps>
            </a:ext>
          </a:extLst>
        </a:blip>
        <a:stretch>
          <a:fillRect/>
        </a:stretch>
      </xdr:blipFill>
      <xdr:spPr>
        <a:xfrm>
          <a:off x="8972550" y="6575425"/>
          <a:ext cx="3632200" cy="37777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9</xdr:col>
      <xdr:colOff>307972</xdr:colOff>
      <xdr:row>2</xdr:row>
      <xdr:rowOff>12698</xdr:rowOff>
    </xdr:from>
    <xdr:to>
      <xdr:col>18</xdr:col>
      <xdr:colOff>503463</xdr:colOff>
      <xdr:row>14</xdr:row>
      <xdr:rowOff>122464</xdr:rowOff>
    </xdr:to>
    <xdr:graphicFrame macro="">
      <xdr:nvGraphicFramePr>
        <xdr:cNvPr id="5" name="Gráfico 4">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870856</xdr:colOff>
      <xdr:row>0</xdr:row>
      <xdr:rowOff>136071</xdr:rowOff>
    </xdr:from>
    <xdr:to>
      <xdr:col>2</xdr:col>
      <xdr:colOff>202799</xdr:colOff>
      <xdr:row>0</xdr:row>
      <xdr:rowOff>1010130</xdr:rowOff>
    </xdr:to>
    <xdr:pic>
      <xdr:nvPicPr>
        <xdr:cNvPr id="7" name="6 Imagen">
          <a:extLst>
            <a:ext uri="{FF2B5EF4-FFF2-40B4-BE49-F238E27FC236}">
              <a16:creationId xmlns:a16="http://schemas.microsoft.com/office/drawing/2014/main" xmlns="" id="{00000000-0008-0000-0400-000007000000}"/>
            </a:ext>
          </a:extLst>
        </xdr:cNvPr>
        <xdr:cNvPicPr>
          <a:picLocks noChangeAspect="1"/>
        </xdr:cNvPicPr>
      </xdr:nvPicPr>
      <xdr:blipFill>
        <a:blip xmlns:r="http://schemas.openxmlformats.org/officeDocument/2006/relationships" r:embed="rId8"/>
        <a:stretch>
          <a:fillRect/>
        </a:stretch>
      </xdr:blipFill>
      <xdr:spPr>
        <a:xfrm>
          <a:off x="870856" y="136071"/>
          <a:ext cx="1876479" cy="8740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123826</xdr:colOff>
      <xdr:row>0</xdr:row>
      <xdr:rowOff>52387</xdr:rowOff>
    </xdr:from>
    <xdr:to>
      <xdr:col>2</xdr:col>
      <xdr:colOff>1028700</xdr:colOff>
      <xdr:row>0</xdr:row>
      <xdr:rowOff>1114425</xdr:rowOff>
    </xdr:to>
    <xdr:pic>
      <xdr:nvPicPr>
        <xdr:cNvPr id="2" name="3 Imagen">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123826" y="52387"/>
          <a:ext cx="3019424" cy="10620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5</xdr:col>
      <xdr:colOff>180976</xdr:colOff>
      <xdr:row>26</xdr:row>
      <xdr:rowOff>37084</xdr:rowOff>
    </xdr:from>
    <xdr:ext cx="2343149" cy="4010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600-000002000000}"/>
                </a:ext>
              </a:extLst>
            </xdr:cNvPr>
            <xdr:cNvSpPr txBox="1"/>
          </xdr:nvSpPr>
          <xdr:spPr>
            <a:xfrm>
              <a:off x="5495926" y="12905359"/>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𝑽𝒎𝒊𝒏</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2" name="CuadroTexto 1">
              <a:extLst>
                <a:ext uri="{FF2B5EF4-FFF2-40B4-BE49-F238E27FC236}">
                  <a16:creationId xmlns:a16="http://schemas.microsoft.com/office/drawing/2014/main" id="{8CC2A7EC-7E0A-4482-9184-1C4E21EE16E4}"/>
                </a:ext>
              </a:extLst>
            </xdr:cNvPr>
            <xdr:cNvSpPr txBox="1"/>
          </xdr:nvSpPr>
          <xdr:spPr>
            <a:xfrm>
              <a:off x="5495926" y="12905359"/>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𝝏𝑫/𝝏𝑽𝒎𝒊𝒏=−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422406</xdr:colOff>
      <xdr:row>29</xdr:row>
      <xdr:rowOff>8282</xdr:rowOff>
    </xdr:from>
    <xdr:ext cx="1880159" cy="331305"/>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600-000003000000}"/>
                </a:ext>
              </a:extLst>
            </xdr:cNvPr>
            <xdr:cNvSpPr txBox="1"/>
          </xdr:nvSpPr>
          <xdr:spPr>
            <a:xfrm>
              <a:off x="5737356" y="134956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𝑽𝒎𝒂𝒙𝒍𝒆𝒄𝒕𝒖𝒓𝒂</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3" name="CuadroTexto 2">
              <a:extLst>
                <a:ext uri="{FF2B5EF4-FFF2-40B4-BE49-F238E27FC236}">
                  <a16:creationId xmlns:a16="http://schemas.microsoft.com/office/drawing/2014/main" id="{A179256C-E733-44C7-85F0-38F6C13EEFA8}"/>
                </a:ext>
              </a:extLst>
            </xdr:cNvPr>
            <xdr:cNvSpPr txBox="1"/>
          </xdr:nvSpPr>
          <xdr:spPr>
            <a:xfrm>
              <a:off x="5737356" y="134956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𝑽𝒎𝒂𝒙𝒍𝒆𝒄𝒕𝒖𝒓𝒂=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373865</xdr:colOff>
      <xdr:row>30</xdr:row>
      <xdr:rowOff>46250</xdr:rowOff>
    </xdr:from>
    <xdr:ext cx="1920794" cy="39579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600-000004000000}"/>
                </a:ext>
              </a:extLst>
            </xdr:cNvPr>
            <xdr:cNvSpPr txBox="1"/>
          </xdr:nvSpPr>
          <xdr:spPr>
            <a:xfrm>
              <a:off x="5688815" y="14038475"/>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𝑽𝒎𝒊𝒏𝒍𝒆𝒄𝒕𝒖𝒓𝒂</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4" name="CuadroTexto 3">
              <a:extLst>
                <a:ext uri="{FF2B5EF4-FFF2-40B4-BE49-F238E27FC236}">
                  <a16:creationId xmlns:a16="http://schemas.microsoft.com/office/drawing/2014/main" id="{E504AE34-336F-499F-B3A7-71E4C8C4525A}"/>
                </a:ext>
              </a:extLst>
            </xdr:cNvPr>
            <xdr:cNvSpPr txBox="1"/>
          </xdr:nvSpPr>
          <xdr:spPr>
            <a:xfrm>
              <a:off x="5688815" y="14038475"/>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𝑽𝒎𝒊𝒏𝒍𝒆𝒄𝒕𝒖𝒓𝒂=  𝟏/𝒏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697334</xdr:colOff>
      <xdr:row>35</xdr:row>
      <xdr:rowOff>37181</xdr:rowOff>
    </xdr:from>
    <xdr:ext cx="1111805" cy="39220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600-000005000000}"/>
                </a:ext>
              </a:extLst>
            </xdr:cNvPr>
            <xdr:cNvSpPr txBox="1"/>
          </xdr:nvSpPr>
          <xdr:spPr>
            <a:xfrm>
              <a:off x="6012284" y="15210506"/>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𝑽𝑫𝒎𝒆𝒕𝒐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a:extLst>
                <a:ext uri="{FF2B5EF4-FFF2-40B4-BE49-F238E27FC236}">
                  <a16:creationId xmlns:a16="http://schemas.microsoft.com/office/drawing/2014/main" id="{75620CE4-1717-4C2E-AE5E-ADE38058682C}"/>
                </a:ext>
              </a:extLst>
            </xdr:cNvPr>
            <xdr:cNvSpPr txBox="1"/>
          </xdr:nvSpPr>
          <xdr:spPr>
            <a:xfrm>
              <a:off x="6012284" y="15210506"/>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𝝏𝑫/𝝏𝑽𝑫𝒎𝒆𝒕𝒐=𝟏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444212</xdr:colOff>
      <xdr:row>25</xdr:row>
      <xdr:rowOff>60614</xdr:rowOff>
    </xdr:from>
    <xdr:ext cx="1842654" cy="353291"/>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600-000006000000}"/>
                </a:ext>
              </a:extLst>
            </xdr:cNvPr>
            <xdr:cNvSpPr txBox="1"/>
          </xdr:nvSpPr>
          <xdr:spPr>
            <a:xfrm>
              <a:off x="5759162" y="12424064"/>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𝑽𝒎𝒂𝒙</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Choice>
      <mc:Fallback xmlns="">
        <xdr:sp macro="" textlink="">
          <xdr:nvSpPr>
            <xdr:cNvPr id="6" name="CuadroTexto 5">
              <a:extLst>
                <a:ext uri="{FF2B5EF4-FFF2-40B4-BE49-F238E27FC236}">
                  <a16:creationId xmlns:a16="http://schemas.microsoft.com/office/drawing/2014/main" id="{61E909B1-3359-412C-B080-EA1E7300A4A8}"/>
                </a:ext>
              </a:extLst>
            </xdr:cNvPr>
            <xdr:cNvSpPr txBox="1"/>
          </xdr:nvSpPr>
          <xdr:spPr>
            <a:xfrm>
              <a:off x="5759162" y="12424064"/>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𝝏𝑫/𝝏𝑽𝒎𝒂𝒙=  𝟏/𝒏</a:t>
              </a:r>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Fallback>
    </mc:AlternateContent>
    <xdr:clientData/>
  </xdr:oneCellAnchor>
  <xdr:oneCellAnchor>
    <xdr:from>
      <xdr:col>5</xdr:col>
      <xdr:colOff>734083</xdr:colOff>
      <xdr:row>33</xdr:row>
      <xdr:rowOff>38458</xdr:rowOff>
    </xdr:from>
    <xdr:ext cx="1115500" cy="395793"/>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600-000007000000}"/>
                </a:ext>
              </a:extLst>
            </xdr:cNvPr>
            <xdr:cNvSpPr txBox="1"/>
          </xdr:nvSpPr>
          <xdr:spPr>
            <a:xfrm>
              <a:off x="6049033" y="14649808"/>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m:t>
                        </m:r>
                        <m:r>
                          <a:rPr lang="es-CO" sz="1100" b="1"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𝒊𝒏𝒉𝒐𝒎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a:extLst>
                <a:ext uri="{FF2B5EF4-FFF2-40B4-BE49-F238E27FC236}">
                  <a16:creationId xmlns:a16="http://schemas.microsoft.com/office/drawing/2014/main" id="{1CD6D9C5-E23C-4394-B3E8-DA89AB00C9A8}"/>
                </a:ext>
              </a:extLst>
            </xdr:cNvPr>
            <xdr:cNvSpPr txBox="1"/>
          </xdr:nvSpPr>
          <xdr:spPr>
            <a:xfrm>
              <a:off x="6049033" y="14649808"/>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 𝒊𝒏𝒉𝒐𝒎)=𝟏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20</xdr:col>
      <xdr:colOff>183089</xdr:colOff>
      <xdr:row>15</xdr:row>
      <xdr:rowOff>54808</xdr:rowOff>
    </xdr:from>
    <xdr:ext cx="485775" cy="27176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600-000008000000}"/>
                </a:ext>
              </a:extLst>
            </xdr:cNvPr>
            <xdr:cNvSpPr txBox="1"/>
          </xdr:nvSpPr>
          <xdr:spPr>
            <a:xfrm>
              <a:off x="21338114" y="699853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8" name="CuadroTexto 7">
              <a:extLst>
                <a:ext uri="{FF2B5EF4-FFF2-40B4-BE49-F238E27FC236}">
                  <a16:creationId xmlns:a16="http://schemas.microsoft.com/office/drawing/2014/main" id="{0CC82EDC-F937-4076-B2BD-C42647DDDB7F}"/>
                </a:ext>
              </a:extLst>
            </xdr:cNvPr>
            <xdr:cNvSpPr txBox="1"/>
          </xdr:nvSpPr>
          <xdr:spPr>
            <a:xfrm>
              <a:off x="21338114" y="699853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13</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600-000009000000}"/>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9" name="CuadroTexto 8">
              <a:extLst>
                <a:ext uri="{FF2B5EF4-FFF2-40B4-BE49-F238E27FC236}">
                  <a16:creationId xmlns:a16="http://schemas.microsoft.com/office/drawing/2014/main" id="{652D637D-23FF-42E9-A8B7-868B7971C464}"/>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12</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600-00000A000000}"/>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10" name="CuadroTexto 9">
              <a:extLst>
                <a:ext uri="{FF2B5EF4-FFF2-40B4-BE49-F238E27FC236}">
                  <a16:creationId xmlns:a16="http://schemas.microsoft.com/office/drawing/2014/main" id="{B0FA16A7-814F-4A35-9FF4-B0AA7788C725}"/>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10</xdr:col>
      <xdr:colOff>275038</xdr:colOff>
      <xdr:row>49</xdr:row>
      <xdr:rowOff>317276</xdr:rowOff>
    </xdr:from>
    <xdr:ext cx="1582337" cy="647129"/>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600-00000B000000}"/>
                </a:ext>
              </a:extLst>
            </xdr:cNvPr>
            <xdr:cNvSpPr txBox="1"/>
          </xdr:nvSpPr>
          <xdr:spPr>
            <a:xfrm>
              <a:off x="10933513" y="22662926"/>
              <a:ext cx="1582337" cy="6471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𝒔𝒑</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𝑽𝒔𝒑</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id="{0112C0FB-50C4-4236-99AD-2D1146EB6F7B}"/>
                </a:ext>
              </a:extLst>
            </xdr:cNvPr>
            <xdr:cNvSpPr txBox="1"/>
          </xdr:nvSpPr>
          <xdr:spPr>
            <a:xfrm>
              <a:off x="10933513" y="22662926"/>
              <a:ext cx="1582337" cy="6471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(𝑽_𝒔𝒑)∑_𝒊▒(𝝏𝑽𝒔𝒑/𝝏𝒙𝒊(𝒙𝒊))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20</xdr:col>
      <xdr:colOff>212913</xdr:colOff>
      <xdr:row>14</xdr:row>
      <xdr:rowOff>39654</xdr:rowOff>
    </xdr:from>
    <xdr:ext cx="610160" cy="184474"/>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600-00000C000000}"/>
                </a:ext>
              </a:extLst>
            </xdr:cNvPr>
            <xdr:cNvSpPr txBox="1"/>
          </xdr:nvSpPr>
          <xdr:spPr>
            <a:xfrm>
              <a:off x="21367938" y="64785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14:m>
                <m:oMathPara xmlns:m="http://schemas.openxmlformats.org/officeDocument/2006/math">
                  <m:oMathParaPr>
                    <m:jc m:val="centerGroup"/>
                  </m:oMathParaPr>
                  <m:oMath xmlns:m="http://schemas.openxmlformats.org/officeDocument/2006/math">
                    <m:sSub>
                      <m:sSubPr>
                        <m:ctrlPr>
                          <a:rPr lang="es-CO" sz="1100" b="1" i="1">
                            <a:solidFill>
                              <a:schemeClr val="bg1"/>
                            </a:solidFill>
                            <a:latin typeface="Cambria Math" panose="02040503050406030204" pitchFamily="18" charset="0"/>
                            <a:cs typeface="Times New Roman" panose="02020603050405020304" pitchFamily="18" charset="0"/>
                          </a:rPr>
                        </m:ctrlPr>
                      </m:sSubPr>
                      <m:e>
                        <m:r>
                          <m:rPr>
                            <m:nor/>
                          </m:rPr>
                          <a:rPr lang="es-CO" sz="1100" b="1" i="1">
                            <a:solidFill>
                              <a:schemeClr val="bg1"/>
                            </a:solidFill>
                            <a:effectLst/>
                            <a:latin typeface="+mn-lt"/>
                            <a:ea typeface="+mn-ea"/>
                            <a:cs typeface="+mn-cs"/>
                          </a:rPr>
                          <m:t>s</m:t>
                        </m:r>
                        <m:r>
                          <m:rPr>
                            <m:nor/>
                          </m:rPr>
                          <a:rPr lang="es-CO" sz="1100" b="1" i="1">
                            <a:solidFill>
                              <a:schemeClr val="bg1"/>
                            </a:solidFill>
                            <a:effectLst/>
                            <a:latin typeface="+mn-lt"/>
                            <a:ea typeface="+mn-ea"/>
                            <a:cs typeface="+mn-cs"/>
                          </a:rPr>
                          <m:t>  </m:t>
                        </m:r>
                        <m:r>
                          <m:rPr>
                            <m:nor/>
                          </m:rPr>
                          <a:rPr lang="es-CO" sz="1100" b="1" i="1">
                            <a:solidFill>
                              <a:schemeClr val="bg1"/>
                            </a:solidFill>
                            <a:effectLst/>
                            <a:latin typeface="+mn-lt"/>
                            <a:ea typeface="+mn-ea"/>
                            <a:cs typeface="+mn-cs"/>
                          </a:rPr>
                          <m:t>D</m:t>
                        </m:r>
                      </m:e>
                      <m:sub>
                        <m:r>
                          <a:rPr lang="es-CO" sz="1100" b="1" i="1">
                            <a:solidFill>
                              <a:schemeClr val="bg1"/>
                            </a:solidFill>
                            <a:latin typeface="Cambria Math" panose="02040503050406030204" pitchFamily="18" charset="0"/>
                            <a:cs typeface="Times New Roman" panose="02020603050405020304" pitchFamily="18" charset="0"/>
                          </a:rPr>
                          <m:t>𝒑𝒓𝒐𝒎</m:t>
                        </m:r>
                      </m:sub>
                    </m:sSub>
                  </m:oMath>
                </m:oMathPara>
              </a14:m>
              <a:endParaRPr lang="es-CO" sz="1100" b="1"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12" name="CuadroTexto 11">
              <a:extLst>
                <a:ext uri="{FF2B5EF4-FFF2-40B4-BE49-F238E27FC236}">
                  <a16:creationId xmlns:a16="http://schemas.microsoft.com/office/drawing/2014/main" id="{FABA2053-414E-480E-A047-20DDEBA1356C}"/>
                </a:ext>
              </a:extLst>
            </xdr:cNvPr>
            <xdr:cNvSpPr txBox="1"/>
          </xdr:nvSpPr>
          <xdr:spPr>
            <a:xfrm>
              <a:off x="21367938" y="64785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lang="es-CO" sz="1100" b="1" i="0">
                  <a:solidFill>
                    <a:schemeClr val="bg1"/>
                  </a:solidFill>
                  <a:latin typeface="Cambria Math" panose="02040503050406030204" pitchFamily="18" charset="0"/>
                  <a:cs typeface="Times New Roman" panose="02020603050405020304" pitchFamily="18" charset="0"/>
                </a:rPr>
                <a:t>〖</a:t>
              </a:r>
              <a:r>
                <a:rPr lang="es-CO" sz="1100" b="1" i="0">
                  <a:solidFill>
                    <a:schemeClr val="bg1"/>
                  </a:solidFill>
                  <a:effectLst/>
                  <a:latin typeface="+mn-lt"/>
                  <a:ea typeface="+mn-ea"/>
                  <a:cs typeface="+mn-cs"/>
                </a:rPr>
                <a:t>"s  D</a:t>
              </a:r>
              <a:r>
                <a:rPr lang="es-CO" sz="1100" b="1" i="0">
                  <a:solidFill>
                    <a:schemeClr val="bg1"/>
                  </a:solidFill>
                  <a:effectLst/>
                  <a:latin typeface="Cambria Math" panose="02040503050406030204" pitchFamily="18" charset="0"/>
                  <a:ea typeface="+mn-ea"/>
                  <a:cs typeface="+mn-cs"/>
                </a:rPr>
                <a:t>" 〗_</a:t>
              </a:r>
              <a:r>
                <a:rPr lang="es-CO" sz="1100" b="1" i="0">
                  <a:solidFill>
                    <a:schemeClr val="bg1"/>
                  </a:solidFill>
                  <a:latin typeface="Cambria Math" panose="02040503050406030204" pitchFamily="18" charset="0"/>
                  <a:cs typeface="Times New Roman" panose="02020603050405020304" pitchFamily="18" charset="0"/>
                </a:rPr>
                <a:t>𝒑𝒓𝒐𝒎</a:t>
              </a:r>
              <a:endParaRPr lang="es-CO" sz="1100" b="1"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2</xdr:col>
      <xdr:colOff>275905</xdr:colOff>
      <xdr:row>31</xdr:row>
      <xdr:rowOff>95250</xdr:rowOff>
    </xdr:from>
    <xdr:ext cx="2540773" cy="284693"/>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600-00000D000000}"/>
                </a:ext>
              </a:extLst>
            </xdr:cNvPr>
            <xdr:cNvSpPr txBox="1"/>
          </xdr:nvSpPr>
          <xdr:spPr>
            <a:xfrm>
              <a:off x="2371405" y="14144625"/>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1100" i="1">
                          <a:latin typeface="Cambria Math" panose="02040503050406030204" pitchFamily="18" charset="0"/>
                        </a:rPr>
                      </m:ctrlPr>
                    </m:sSupPr>
                    <m:e>
                      <m:r>
                        <m:rPr>
                          <m:nor/>
                        </m:rPr>
                        <a:rPr lang="es-CO" sz="1100">
                          <a:solidFill>
                            <a:schemeClr val="tx1"/>
                          </a:solidFill>
                          <a:effectLst/>
                          <a:latin typeface="+mn-lt"/>
                          <a:ea typeface="+mn-ea"/>
                          <a:cs typeface="+mn-cs"/>
                        </a:rPr>
                        <m:t>(</m:t>
                      </m:r>
                      <m:f>
                        <m:fPr>
                          <m:ctrlPr>
                            <a:rPr lang="es-CO" sz="1100" b="1" i="1">
                              <a:solidFill>
                                <a:schemeClr val="tx1"/>
                              </a:solidFill>
                              <a:effectLst/>
                              <a:latin typeface="Cambria Math" panose="02040503050406030204" pitchFamily="18" charset="0"/>
                              <a:ea typeface="+mn-ea"/>
                              <a:cs typeface="+mn-cs"/>
                            </a:rPr>
                          </m:ctrlPr>
                        </m:fPr>
                        <m:num>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𝑴𝒂𝒙</m:t>
                              </m:r>
                            </m:sub>
                          </m:sSub>
                          <m:r>
                            <a:rPr lang="es-CO" sz="1100" b="1" i="1">
                              <a:solidFill>
                                <a:schemeClr val="tx1"/>
                              </a:solidFill>
                              <a:effectLst/>
                              <a:latin typeface="Cambria Math" panose="02040503050406030204" pitchFamily="18" charset="0"/>
                              <a:ea typeface="+mn-ea"/>
                              <a:cs typeface="+mn-cs"/>
                            </a:rPr>
                            <m:t> − </m:t>
                          </m:r>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𝑴𝒊𝒏</m:t>
                              </m:r>
                            </m:sub>
                          </m:sSub>
                        </m:num>
                        <m:den>
                          <m:rad>
                            <m:radPr>
                              <m:degHide m:val="on"/>
                              <m:ctrlPr>
                                <a:rPr lang="es-CO" sz="1100" b="1" i="1">
                                  <a:solidFill>
                                    <a:schemeClr val="tx1"/>
                                  </a:solidFill>
                                  <a:effectLst/>
                                  <a:latin typeface="Cambria Math" panose="02040503050406030204" pitchFamily="18" charset="0"/>
                                  <a:ea typeface="+mn-ea"/>
                                  <a:cs typeface="+mn-cs"/>
                                </a:rPr>
                              </m:ctrlPr>
                            </m:radPr>
                            <m:deg/>
                            <m:e>
                              <m:r>
                                <a:rPr lang="es-CO" sz="1100" b="1" i="1">
                                  <a:solidFill>
                                    <a:schemeClr val="tx1"/>
                                  </a:solidFill>
                                  <a:effectLst/>
                                  <a:latin typeface="Cambria Math" panose="02040503050406030204" pitchFamily="18" charset="0"/>
                                  <a:ea typeface="+mn-ea"/>
                                  <a:cs typeface="+mn-cs"/>
                                </a:rPr>
                                <m:t>𝟏𝟐</m:t>
                              </m:r>
                            </m:e>
                          </m:rad>
                        </m:den>
                      </m:f>
                      <m:r>
                        <m:rPr>
                          <m:nor/>
                        </m:rPr>
                        <a:rPr lang="es-CO" sz="1100" b="1">
                          <a:solidFill>
                            <a:schemeClr val="tx1"/>
                          </a:solidFill>
                          <a:effectLst/>
                          <a:latin typeface="+mn-lt"/>
                          <a:ea typeface="+mn-ea"/>
                          <a:cs typeface="+mn-cs"/>
                        </a:rPr>
                        <m:t>)</m:t>
                      </m:r>
                      <m:r>
                        <m:rPr>
                          <m:nor/>
                        </m:rPr>
                        <a:rPr lang="es-CO" sz="1100" b="1">
                          <a:effectLst/>
                        </a:rPr>
                        <m:t> </m:t>
                      </m:r>
                    </m:e>
                    <m:sup>
                      <m:r>
                        <a:rPr lang="es-CO" sz="1100" b="0" i="1">
                          <a:latin typeface="Cambria Math" panose="02040503050406030204" pitchFamily="18" charset="0"/>
                        </a:rPr>
                        <m:t>2</m:t>
                      </m:r>
                    </m:sup>
                  </m:sSup>
                </m:oMath>
              </a14:m>
              <a:endParaRPr lang="es-CO" sz="1100"/>
            </a:p>
          </xdr:txBody>
        </xdr:sp>
      </mc:Choice>
      <mc:Fallback xmlns="">
        <xdr:sp macro="" textlink="">
          <xdr:nvSpPr>
            <xdr:cNvPr id="13" name="CuadroTexto 12">
              <a:extLst>
                <a:ext uri="{FF2B5EF4-FFF2-40B4-BE49-F238E27FC236}">
                  <a16:creationId xmlns:a16="http://schemas.microsoft.com/office/drawing/2014/main" id="{457E8221-1720-4184-88C7-60C86D8448A9}"/>
                </a:ext>
              </a:extLst>
            </xdr:cNvPr>
            <xdr:cNvSpPr txBox="1"/>
          </xdr:nvSpPr>
          <xdr:spPr>
            <a:xfrm>
              <a:off x="2371405" y="14144625"/>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1100" i="0">
                  <a:latin typeface="Cambria Math" panose="02040503050406030204" pitchFamily="18" charset="0"/>
                </a:rPr>
                <a:t>〖</a:t>
              </a:r>
              <a:r>
                <a:rPr lang="es-CO" sz="1100" i="0">
                  <a:solidFill>
                    <a:schemeClr val="tx1"/>
                  </a:solidFill>
                  <a:effectLst/>
                  <a:latin typeface="+mn-lt"/>
                  <a:ea typeface="+mn-ea"/>
                  <a:cs typeface="+mn-cs"/>
                </a:rPr>
                <a:t>"(</a:t>
              </a:r>
              <a:r>
                <a:rPr lang="es-CO" sz="1100" b="1" i="0">
                  <a:solidFill>
                    <a:schemeClr val="tx1"/>
                  </a:solidFill>
                  <a:effectLst/>
                  <a:latin typeface="Cambria Math" panose="02040503050406030204" pitchFamily="18" charset="0"/>
                  <a:ea typeface="+mn-ea"/>
                  <a:cs typeface="+mn-cs"/>
                </a:rPr>
                <a:t>"  (𝑬_𝑴𝒂𝒙  − 𝑬_𝑴𝒊𝒏)/√𝟏𝟐</a:t>
              </a:r>
              <a:r>
                <a:rPr lang="es-CO" sz="1100" b="1" i="0">
                  <a:solidFill>
                    <a:schemeClr val="tx1"/>
                  </a:solidFill>
                  <a:effectLst/>
                  <a:latin typeface="+mn-lt"/>
                  <a:ea typeface="+mn-ea"/>
                  <a:cs typeface="+mn-cs"/>
                </a:rPr>
                <a:t> ")</a:t>
              </a:r>
              <a:r>
                <a:rPr lang="es-CO" sz="1100" b="1" i="0">
                  <a:effectLst/>
                </a:rPr>
                <a:t> </a:t>
              </a:r>
              <a:r>
                <a:rPr lang="es-CO" sz="1100" b="1" i="0">
                  <a:effectLst/>
                  <a:latin typeface="Cambria Math" panose="02040503050406030204" pitchFamily="18" charset="0"/>
                </a:rPr>
                <a:t>" 〗^</a:t>
              </a:r>
              <a:r>
                <a:rPr lang="es-CO" sz="1100" b="0" i="0">
                  <a:latin typeface="Cambria Math" panose="02040503050406030204" pitchFamily="18" charset="0"/>
                </a:rPr>
                <a:t>2</a:t>
              </a:r>
              <a:endParaRPr lang="es-CO" sz="1100"/>
            </a:p>
          </xdr:txBody>
        </xdr:sp>
      </mc:Fallback>
    </mc:AlternateContent>
    <xdr:clientData/>
  </xdr:oneCellAnchor>
  <xdr:oneCellAnchor>
    <xdr:from>
      <xdr:col>21</xdr:col>
      <xdr:colOff>191239</xdr:colOff>
      <xdr:row>18</xdr:row>
      <xdr:rowOff>85618</xdr:rowOff>
    </xdr:from>
    <xdr:ext cx="525812" cy="172227"/>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600-00000E000000}"/>
                </a:ext>
              </a:extLst>
            </xdr:cNvPr>
            <xdr:cNvSpPr txBox="1"/>
          </xdr:nvSpPr>
          <xdr:spPr>
            <a:xfrm>
              <a:off x="22394014" y="8667643"/>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solidFill>
                          <a:schemeClr val="bg1"/>
                        </a:solidFill>
                        <a:effectLst/>
                        <a:latin typeface="Cambria Math" panose="02040503050406030204" pitchFamily="18" charset="0"/>
                        <a:ea typeface="+mn-ea"/>
                        <a:cs typeface="+mn-cs"/>
                      </a:rPr>
                      <m:t>∆</m:t>
                    </m:r>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𝑴𝒂𝒙</m:t>
                        </m:r>
                      </m:sub>
                    </m:sSub>
                  </m:oMath>
                </m:oMathPara>
              </a14:m>
              <a:endParaRPr lang="es-CO" sz="1100">
                <a:solidFill>
                  <a:schemeClr val="bg1"/>
                </a:solidFill>
              </a:endParaRPr>
            </a:p>
          </xdr:txBody>
        </xdr:sp>
      </mc:Choice>
      <mc:Fallback xmlns="">
        <xdr:sp macro="" textlink="">
          <xdr:nvSpPr>
            <xdr:cNvPr id="14" name="CuadroTexto 13">
              <a:extLst>
                <a:ext uri="{FF2B5EF4-FFF2-40B4-BE49-F238E27FC236}">
                  <a16:creationId xmlns:a16="http://schemas.microsoft.com/office/drawing/2014/main" id="{DB58EBED-C6D2-41E9-B629-5A1763C33FBE}"/>
                </a:ext>
              </a:extLst>
            </xdr:cNvPr>
            <xdr:cNvSpPr txBox="1"/>
          </xdr:nvSpPr>
          <xdr:spPr>
            <a:xfrm>
              <a:off x="22394014" y="8667643"/>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effectLst/>
                  <a:latin typeface="Cambria Math" panose="02040503050406030204" pitchFamily="18" charset="0"/>
                  <a:ea typeface="+mn-ea"/>
                  <a:cs typeface="+mn-cs"/>
                </a:rPr>
                <a:t>∆𝑽_𝑴𝒂𝒙</a:t>
              </a:r>
              <a:endParaRPr lang="es-CO" sz="1100">
                <a:solidFill>
                  <a:schemeClr val="bg1"/>
                </a:solidFill>
              </a:endParaRPr>
            </a:p>
          </xdr:txBody>
        </xdr:sp>
      </mc:Fallback>
    </mc:AlternateContent>
    <xdr:clientData/>
  </xdr:oneCellAnchor>
  <xdr:oneCellAnchor>
    <xdr:from>
      <xdr:col>21</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600-00000F000000}"/>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15" name="CuadroTexto 14">
              <a:extLst>
                <a:ext uri="{FF2B5EF4-FFF2-40B4-BE49-F238E27FC236}">
                  <a16:creationId xmlns:a16="http://schemas.microsoft.com/office/drawing/2014/main" id="{FF8B1A7E-5244-4D5E-A28F-6974E86DD386}"/>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21</xdr:col>
      <xdr:colOff>197261</xdr:colOff>
      <xdr:row>19</xdr:row>
      <xdr:rowOff>64214</xdr:rowOff>
    </xdr:from>
    <xdr:ext cx="487684" cy="226276"/>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00000000-0008-0000-0600-000010000000}"/>
                </a:ext>
              </a:extLst>
            </xdr:cNvPr>
            <xdr:cNvSpPr txBox="1"/>
          </xdr:nvSpPr>
          <xdr:spPr>
            <a:xfrm>
              <a:off x="22400036" y="9274889"/>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100" b="0" i="1">
                        <a:solidFill>
                          <a:schemeClr val="bg1"/>
                        </a:solidFill>
                        <a:effectLst/>
                        <a:latin typeface="Cambria Math" panose="02040503050406030204" pitchFamily="18" charset="0"/>
                        <a:ea typeface="+mn-ea"/>
                        <a:cs typeface="+mn-cs"/>
                      </a:rPr>
                      <m:t>∆</m:t>
                    </m:r>
                    <m:sSub>
                      <m:sSubPr>
                        <m:ctrlPr>
                          <a:rPr lang="es-CO" sz="1100" b="0" i="1">
                            <a:solidFill>
                              <a:schemeClr val="bg1"/>
                            </a:solidFill>
                            <a:effectLst/>
                            <a:latin typeface="Cambria Math" panose="02040503050406030204" pitchFamily="18" charset="0"/>
                            <a:ea typeface="+mn-ea"/>
                            <a:cs typeface="+mn-cs"/>
                          </a:rPr>
                        </m:ctrlPr>
                      </m:sSubPr>
                      <m:e>
                        <m:r>
                          <a:rPr lang="es-CO" sz="1100" b="0" i="1">
                            <a:solidFill>
                              <a:schemeClr val="bg1"/>
                            </a:solidFill>
                            <a:effectLst/>
                            <a:latin typeface="Cambria Math" panose="02040503050406030204" pitchFamily="18" charset="0"/>
                            <a:ea typeface="+mn-ea"/>
                            <a:cs typeface="+mn-cs"/>
                          </a:rPr>
                          <m:t>𝑉</m:t>
                        </m:r>
                      </m:e>
                      <m:sub>
                        <m:r>
                          <a:rPr lang="es-CO" sz="1100" b="0" i="1">
                            <a:solidFill>
                              <a:schemeClr val="bg1"/>
                            </a:solidFill>
                            <a:effectLst/>
                            <a:latin typeface="Cambria Math" panose="02040503050406030204" pitchFamily="18" charset="0"/>
                            <a:ea typeface="+mn-ea"/>
                            <a:cs typeface="+mn-cs"/>
                          </a:rPr>
                          <m:t>𝑀𝑖𝑛</m:t>
                        </m:r>
                      </m:sub>
                    </m:sSub>
                  </m:oMath>
                </m:oMathPara>
              </a14:m>
              <a:endParaRPr lang="es-CO" sz="1100" b="0">
                <a:solidFill>
                  <a:schemeClr val="bg1"/>
                </a:solidFill>
              </a:endParaRPr>
            </a:p>
          </xdr:txBody>
        </xdr:sp>
      </mc:Choice>
      <mc:Fallback xmlns="">
        <xdr:sp macro="" textlink="">
          <xdr:nvSpPr>
            <xdr:cNvPr id="16" name="CuadroTexto 15">
              <a:extLst>
                <a:ext uri="{FF2B5EF4-FFF2-40B4-BE49-F238E27FC236}">
                  <a16:creationId xmlns:a16="http://schemas.microsoft.com/office/drawing/2014/main" id="{63E2F16A-1A23-4634-8D6D-6376D882DDB6}"/>
                </a:ext>
              </a:extLst>
            </xdr:cNvPr>
            <xdr:cNvSpPr txBox="1"/>
          </xdr:nvSpPr>
          <xdr:spPr>
            <a:xfrm>
              <a:off x="22400036" y="9274889"/>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solidFill>
                    <a:schemeClr val="bg1"/>
                  </a:solidFill>
                  <a:effectLst/>
                  <a:latin typeface="Cambria Math" panose="02040503050406030204" pitchFamily="18" charset="0"/>
                  <a:ea typeface="+mn-ea"/>
                  <a:cs typeface="+mn-cs"/>
                </a:rPr>
                <a:t>∆𝑉_𝑀𝑖𝑛</a:t>
              </a:r>
              <a:endParaRPr lang="es-CO" sz="1100" b="0">
                <a:solidFill>
                  <a:schemeClr val="bg1"/>
                </a:solidFill>
              </a:endParaRPr>
            </a:p>
          </xdr:txBody>
        </xdr:sp>
      </mc:Fallback>
    </mc:AlternateContent>
    <xdr:clientData/>
  </xdr:oneCellAnchor>
  <xdr:oneCellAnchor>
    <xdr:from>
      <xdr:col>2</xdr:col>
      <xdr:colOff>269421</xdr:colOff>
      <xdr:row>44</xdr:row>
      <xdr:rowOff>299357</xdr:rowOff>
    </xdr:from>
    <xdr:ext cx="900793" cy="17222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600-000011000000}"/>
                </a:ext>
              </a:extLst>
            </xdr:cNvPr>
            <xdr:cNvSpPr txBox="1"/>
          </xdr:nvSpPr>
          <xdr:spPr>
            <a:xfrm>
              <a:off x="2364921" y="20120882"/>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𝒎𝒂𝒙</m:t>
                        </m:r>
                      </m:sub>
                    </m:sSub>
                  </m:oMath>
                </m:oMathPara>
              </a14:m>
              <a:endParaRPr lang="es-CO" sz="1100" b="1"/>
            </a:p>
          </xdr:txBody>
        </xdr:sp>
      </mc:Choice>
      <mc:Fallback xmlns="">
        <xdr:sp macro="" textlink="">
          <xdr:nvSpPr>
            <xdr:cNvPr id="17" name="CuadroTexto 16">
              <a:extLst>
                <a:ext uri="{FF2B5EF4-FFF2-40B4-BE49-F238E27FC236}">
                  <a16:creationId xmlns:a16="http://schemas.microsoft.com/office/drawing/2014/main" id="{D61B1458-7C52-410E-AF4F-D78D341FD509}"/>
                </a:ext>
              </a:extLst>
            </xdr:cNvPr>
            <xdr:cNvSpPr txBox="1"/>
          </xdr:nvSpPr>
          <xdr:spPr>
            <a:xfrm>
              <a:off x="2364921" y="20120882"/>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𝒎𝒂𝒙</a:t>
              </a:r>
              <a:endParaRPr lang="es-CO" sz="1100" b="1"/>
            </a:p>
          </xdr:txBody>
        </xdr:sp>
      </mc:Fallback>
    </mc:AlternateContent>
    <xdr:clientData/>
  </xdr:oneCellAnchor>
  <xdr:oneCellAnchor>
    <xdr:from>
      <xdr:col>2</xdr:col>
      <xdr:colOff>408644</xdr:colOff>
      <xdr:row>46</xdr:row>
      <xdr:rowOff>257176</xdr:rowOff>
    </xdr:from>
    <xdr:ext cx="465320" cy="172227"/>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600-000012000000}"/>
                </a:ext>
              </a:extLst>
            </xdr:cNvPr>
            <xdr:cNvSpPr txBox="1"/>
          </xdr:nvSpPr>
          <xdr:spPr>
            <a:xfrm>
              <a:off x="2504144" y="21088351"/>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𝒊𝒏𝒉𝒐</m:t>
                        </m:r>
                        <m:r>
                          <a:rPr lang="es-CO" sz="1100" b="1" i="1">
                            <a:latin typeface="Cambria Math" panose="02040503050406030204" pitchFamily="18" charset="0"/>
                            <a:ea typeface="Cambria Math" panose="02040503050406030204" pitchFamily="18" charset="0"/>
                          </a:rPr>
                          <m:t> </m:t>
                        </m:r>
                      </m:sub>
                    </m:sSub>
                  </m:oMath>
                </m:oMathPara>
              </a14:m>
              <a:endParaRPr lang="es-CO" sz="1100" b="1"/>
            </a:p>
          </xdr:txBody>
        </xdr:sp>
      </mc:Choice>
      <mc:Fallback xmlns="">
        <xdr:sp macro="" textlink="">
          <xdr:nvSpPr>
            <xdr:cNvPr id="18" name="CuadroTexto 17">
              <a:extLst>
                <a:ext uri="{FF2B5EF4-FFF2-40B4-BE49-F238E27FC236}">
                  <a16:creationId xmlns:a16="http://schemas.microsoft.com/office/drawing/2014/main" id="{15C75646-9B65-42B2-BFD3-D3C40C825777}"/>
                </a:ext>
              </a:extLst>
            </xdr:cNvPr>
            <xdr:cNvSpPr txBox="1"/>
          </xdr:nvSpPr>
          <xdr:spPr>
            <a:xfrm>
              <a:off x="2504144" y="21088351"/>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𝒊𝒏𝒉𝒐 )</a:t>
              </a:r>
              <a:endParaRPr lang="es-CO" sz="1100" b="1"/>
            </a:p>
          </xdr:txBody>
        </xdr:sp>
      </mc:Fallback>
    </mc:AlternateContent>
    <xdr:clientData/>
  </xdr:oneCellAnchor>
  <xdr:oneCellAnchor>
    <xdr:from>
      <xdr:col>1</xdr:col>
      <xdr:colOff>401984</xdr:colOff>
      <xdr:row>47</xdr:row>
      <xdr:rowOff>165505</xdr:rowOff>
    </xdr:from>
    <xdr:ext cx="1635291" cy="325795"/>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600-000013000000}"/>
                </a:ext>
              </a:extLst>
            </xdr:cNvPr>
            <xdr:cNvSpPr txBox="1"/>
          </xdr:nvSpPr>
          <xdr:spPr>
            <a:xfrm>
              <a:off x="1449734" y="21501505"/>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right"/>
                  </m:oMathParaPr>
                  <m:oMath xmlns:m="http://schemas.openxmlformats.org/officeDocument/2006/math">
                    <m:r>
                      <a:rPr lang="es-CO" sz="1000" b="1" i="1">
                        <a:latin typeface="Cambria Math" panose="02040503050406030204" pitchFamily="18" charset="0"/>
                      </a:rPr>
                      <m:t>𝒖</m:t>
                    </m:r>
                    <m:d>
                      <m:dPr>
                        <m:ctrlPr>
                          <a:rPr lang="es-CO" sz="1000" b="1" i="1">
                            <a:latin typeface="Cambria Math" panose="02040503050406030204" pitchFamily="18" charset="0"/>
                          </a:rPr>
                        </m:ctrlPr>
                      </m:dPr>
                      <m:e>
                        <m:sSub>
                          <m:sSubPr>
                            <m:ctrlPr>
                              <a:rPr lang="es-CO" sz="1000" b="1" i="1">
                                <a:latin typeface="Cambria Math" panose="02040503050406030204" pitchFamily="18" charset="0"/>
                              </a:rPr>
                            </m:ctrlPr>
                          </m:sSubPr>
                          <m:e>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𝑫</m:t>
                            </m:r>
                          </m:e>
                          <m:sub>
                            <m:r>
                              <a:rPr lang="es-CO" sz="1000" b="1" i="1">
                                <a:latin typeface="Cambria Math" panose="02040503050406030204" pitchFamily="18" charset="0"/>
                              </a:rPr>
                              <m:t>𝒎𝒆𝒕</m:t>
                            </m:r>
                          </m:sub>
                        </m:sSub>
                        <m:r>
                          <a:rPr lang="es-CO" sz="1000" b="1" i="1">
                            <a:latin typeface="Cambria Math" panose="02040503050406030204" pitchFamily="18" charset="0"/>
                          </a:rPr>
                          <m:t> </m:t>
                        </m:r>
                      </m:e>
                    </m:d>
                    <m:r>
                      <a:rPr lang="es-CO" sz="1000" b="1" i="1">
                        <a:latin typeface="Cambria Math" panose="02040503050406030204" pitchFamily="18" charset="0"/>
                      </a:rPr>
                      <m:t>=</m:t>
                    </m:r>
                    <m:f>
                      <m:fPr>
                        <m:ctrlPr>
                          <a:rPr lang="es-CO" sz="1000" b="1" i="1">
                            <a:latin typeface="Cambria Math" panose="02040503050406030204" pitchFamily="18" charset="0"/>
                          </a:rPr>
                        </m:ctrlPr>
                      </m:fPr>
                      <m:num>
                        <m:r>
                          <a:rPr lang="es-CO" sz="1000" b="1" i="1">
                            <a:latin typeface="Cambria Math" panose="02040503050406030204" pitchFamily="18" charset="0"/>
                          </a:rPr>
                          <m:t>𝒔</m:t>
                        </m:r>
                        <m:r>
                          <a:rPr lang="es-CO" sz="1000" b="1" i="1">
                            <a:latin typeface="Cambria Math" panose="02040503050406030204" pitchFamily="18" charset="0"/>
                          </a:rPr>
                          <m:t>(</m:t>
                        </m:r>
                        <m:sSub>
                          <m:sSubPr>
                            <m:ctrlPr>
                              <a:rPr lang="es-CO" sz="1000" b="1" i="1">
                                <a:latin typeface="Cambria Math" panose="02040503050406030204" pitchFamily="18" charset="0"/>
                              </a:rPr>
                            </m:ctrlPr>
                          </m:sSubPr>
                          <m:e>
                            <m:r>
                              <a:rPr lang="es-CO" sz="1000" b="1" i="1">
                                <a:latin typeface="Cambria Math" panose="02040503050406030204" pitchFamily="18" charset="0"/>
                              </a:rPr>
                              <m:t>𝑫</m:t>
                            </m:r>
                          </m:e>
                          <m:sub>
                            <m:r>
                              <a:rPr lang="es-CO" sz="1000" b="1" i="1">
                                <a:latin typeface="Cambria Math" panose="02040503050406030204" pitchFamily="18" charset="0"/>
                              </a:rPr>
                              <m:t>𝒑𝒓𝒐𝒎</m:t>
                            </m:r>
                          </m:sub>
                        </m:sSub>
                      </m:num>
                      <m:den>
                        <m:rad>
                          <m:radPr>
                            <m:degHide m:val="on"/>
                            <m:ctrlPr>
                              <a:rPr lang="es-CO" sz="1000" b="1" i="1">
                                <a:latin typeface="Cambria Math" panose="02040503050406030204" pitchFamily="18" charset="0"/>
                              </a:rPr>
                            </m:ctrlPr>
                          </m:radPr>
                          <m:deg/>
                          <m:e>
                            <m:r>
                              <a:rPr lang="es-CO" sz="1000" b="1" i="1">
                                <a:latin typeface="Cambria Math" panose="02040503050406030204" pitchFamily="18" charset="0"/>
                              </a:rPr>
                              <m:t>𝑵</m:t>
                            </m:r>
                          </m:e>
                        </m:rad>
                      </m:den>
                    </m:f>
                  </m:oMath>
                </m:oMathPara>
              </a14:m>
              <a:endParaRPr lang="es-CO" sz="1000" b="1" i="1" baseline="-25000"/>
            </a:p>
          </xdr:txBody>
        </xdr:sp>
      </mc:Choice>
      <mc:Fallback xmlns="">
        <xdr:sp macro="" textlink="">
          <xdr:nvSpPr>
            <xdr:cNvPr id="19" name="CuadroTexto 18">
              <a:extLst>
                <a:ext uri="{FF2B5EF4-FFF2-40B4-BE49-F238E27FC236}">
                  <a16:creationId xmlns:a16="http://schemas.microsoft.com/office/drawing/2014/main" id="{EDEA0164-2A43-44D9-93DA-C7CB592A4EF0}"/>
                </a:ext>
              </a:extLst>
            </xdr:cNvPr>
            <xdr:cNvSpPr txBox="1"/>
          </xdr:nvSpPr>
          <xdr:spPr>
            <a:xfrm>
              <a:off x="1449734" y="21501505"/>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00" b="1" i="0">
                  <a:latin typeface="Cambria Math" panose="02040503050406030204" pitchFamily="18" charset="0"/>
                </a:rPr>
                <a:t>𝒖(〖</a:t>
              </a:r>
              <a:r>
                <a:rPr lang="es-CO" sz="1000" b="1" i="0">
                  <a:solidFill>
                    <a:schemeClr val="tx1"/>
                  </a:solidFill>
                  <a:effectLst/>
                  <a:latin typeface="Cambria Math" panose="02040503050406030204" pitchFamily="18" charset="0"/>
                  <a:ea typeface="+mn-ea"/>
                  <a:cs typeface="+mn-cs"/>
                </a:rPr>
                <a:t>∆𝑫〗_</a:t>
              </a:r>
              <a:r>
                <a:rPr lang="es-CO" sz="1000" b="1" i="0">
                  <a:latin typeface="Cambria Math" panose="02040503050406030204" pitchFamily="18" charset="0"/>
                </a:rPr>
                <a:t>𝒎𝒆𝒕  )=(𝒔(𝑫_𝒑𝒓𝒐𝒎)/√𝑵</a:t>
              </a:r>
              <a:endParaRPr lang="es-CO" sz="1000" b="1" i="1" baseline="-25000"/>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600-000014000000}"/>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20" name="CuadroTexto 19">
              <a:extLst>
                <a:ext uri="{FF2B5EF4-FFF2-40B4-BE49-F238E27FC236}">
                  <a16:creationId xmlns:a16="http://schemas.microsoft.com/office/drawing/2014/main" id="{4D0C8DD4-058B-49EA-9D9B-42CDFECEE429}"/>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oneCellAnchor>
    <xdr:from>
      <xdr:col>13</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00000000-0008-0000-0600-000015000000}"/>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21" name="CuadroTexto 20">
              <a:extLst>
                <a:ext uri="{FF2B5EF4-FFF2-40B4-BE49-F238E27FC236}">
                  <a16:creationId xmlns:a16="http://schemas.microsoft.com/office/drawing/2014/main" id="{991D6E77-49EE-4DED-9070-2DBA2C054380}"/>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12</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600-000016000000}"/>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22" name="CuadroTexto 21">
              <a:extLst>
                <a:ext uri="{FF2B5EF4-FFF2-40B4-BE49-F238E27FC236}">
                  <a16:creationId xmlns:a16="http://schemas.microsoft.com/office/drawing/2014/main" id="{E91FCFB8-404F-4D77-BF43-DB04B7671DB4}"/>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2</xdr:col>
      <xdr:colOff>262756</xdr:colOff>
      <xdr:row>33</xdr:row>
      <xdr:rowOff>122976</xdr:rowOff>
    </xdr:from>
    <xdr:ext cx="2023243" cy="250518"/>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600-000017000000}"/>
                </a:ext>
              </a:extLst>
            </xdr:cNvPr>
            <xdr:cNvSpPr txBox="1"/>
          </xdr:nvSpPr>
          <xdr:spPr>
            <a:xfrm>
              <a:off x="2358256" y="14734326"/>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800" b="1" i="1">
                          <a:latin typeface="Cambria Math" panose="02040503050406030204" pitchFamily="18" charset="0"/>
                        </a:rPr>
                      </m:ctrlPr>
                    </m:sSupPr>
                    <m:e>
                      <m:r>
                        <m:rPr>
                          <m:nor/>
                        </m:rPr>
                        <a:rPr lang="es-CO" sz="800" b="1">
                          <a:solidFill>
                            <a:schemeClr val="tx1"/>
                          </a:solidFill>
                          <a:effectLst/>
                          <a:latin typeface="+mn-lt"/>
                          <a:ea typeface="+mn-ea"/>
                          <a:cs typeface="+mn-cs"/>
                        </a:rPr>
                        <m:t>(</m:t>
                      </m:r>
                      <m:f>
                        <m:fPr>
                          <m:ctrlPr>
                            <a:rPr lang="es-CO" sz="800" b="1" i="1">
                              <a:solidFill>
                                <a:schemeClr val="tx1"/>
                              </a:solidFill>
                              <a:effectLst/>
                              <a:latin typeface="Cambria Math" panose="02040503050406030204" pitchFamily="18" charset="0"/>
                              <a:ea typeface="+mn-ea"/>
                              <a:cs typeface="+mn-cs"/>
                            </a:rPr>
                          </m:ctrlPr>
                        </m:fPr>
                        <m:num>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𝑴𝒂𝒙</m:t>
                              </m:r>
                            </m:sub>
                          </m:sSub>
                          <m:r>
                            <a:rPr lang="es-CO" sz="800" b="1" i="1">
                              <a:solidFill>
                                <a:schemeClr val="tx1"/>
                              </a:solidFill>
                              <a:effectLst/>
                              <a:latin typeface="Cambria Math" panose="02040503050406030204" pitchFamily="18" charset="0"/>
                              <a:ea typeface="+mn-ea"/>
                              <a:cs typeface="+mn-cs"/>
                            </a:rPr>
                            <m:t> − </m:t>
                          </m:r>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𝑴𝒊𝒏</m:t>
                              </m:r>
                            </m:sub>
                          </m:sSub>
                        </m:num>
                        <m:den>
                          <m:rad>
                            <m:radPr>
                              <m:degHide m:val="on"/>
                              <m:ctrlPr>
                                <a:rPr lang="es-CO" sz="800" b="1" i="1">
                                  <a:solidFill>
                                    <a:schemeClr val="tx1"/>
                                  </a:solidFill>
                                  <a:effectLst/>
                                  <a:latin typeface="Cambria Math" panose="02040503050406030204" pitchFamily="18" charset="0"/>
                                  <a:ea typeface="+mn-ea"/>
                                  <a:cs typeface="+mn-cs"/>
                                </a:rPr>
                              </m:ctrlPr>
                            </m:radPr>
                            <m:deg/>
                            <m:e>
                              <m:r>
                                <a:rPr lang="es-CO" sz="800" b="1" i="1">
                                  <a:solidFill>
                                    <a:schemeClr val="tx1"/>
                                  </a:solidFill>
                                  <a:effectLst/>
                                  <a:latin typeface="Cambria Math" panose="02040503050406030204" pitchFamily="18" charset="0"/>
                                  <a:ea typeface="+mn-ea"/>
                                  <a:cs typeface="+mn-cs"/>
                                </a:rPr>
                                <m:t>𝟏𝟐</m:t>
                              </m:r>
                            </m:e>
                          </m:rad>
                        </m:den>
                      </m:f>
                      <m:r>
                        <m:rPr>
                          <m:nor/>
                        </m:rPr>
                        <a:rPr lang="es-CO" sz="800" b="1">
                          <a:solidFill>
                            <a:schemeClr val="tx1"/>
                          </a:solidFill>
                          <a:effectLst/>
                          <a:latin typeface="+mn-lt"/>
                          <a:ea typeface="+mn-ea"/>
                          <a:cs typeface="+mn-cs"/>
                        </a:rPr>
                        <m:t>)</m:t>
                      </m:r>
                      <m:r>
                        <m:rPr>
                          <m:nor/>
                        </m:rPr>
                        <a:rPr lang="es-CO" sz="800" b="1">
                          <a:effectLst/>
                        </a:rPr>
                        <m:t> </m:t>
                      </m:r>
                    </m:e>
                    <m:sup>
                      <m:r>
                        <a:rPr lang="es-CO" sz="800" b="1" i="1">
                          <a:latin typeface="Cambria Math" panose="02040503050406030204" pitchFamily="18" charset="0"/>
                        </a:rPr>
                        <m:t>𝟐</m:t>
                      </m:r>
                    </m:sup>
                  </m:sSup>
                </m:oMath>
              </a14:m>
              <a:endParaRPr lang="es-CO" sz="800" b="1"/>
            </a:p>
          </xdr:txBody>
        </xdr:sp>
      </mc:Choice>
      <mc:Fallback xmlns="">
        <xdr:sp macro="" textlink="">
          <xdr:nvSpPr>
            <xdr:cNvPr id="23" name="CuadroTexto 22">
              <a:extLst>
                <a:ext uri="{FF2B5EF4-FFF2-40B4-BE49-F238E27FC236}">
                  <a16:creationId xmlns:a16="http://schemas.microsoft.com/office/drawing/2014/main" id="{128D03A4-9CCF-4861-B2B6-FCDAD06558CB}"/>
                </a:ext>
              </a:extLst>
            </xdr:cNvPr>
            <xdr:cNvSpPr txBox="1"/>
          </xdr:nvSpPr>
          <xdr:spPr>
            <a:xfrm>
              <a:off x="2358256" y="14734326"/>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800" b="1" i="0">
                  <a:latin typeface="Cambria Math" panose="02040503050406030204" pitchFamily="18" charset="0"/>
                </a:rPr>
                <a:t>〖</a:t>
              </a:r>
              <a:r>
                <a:rPr lang="es-CO" sz="800" b="1" i="0">
                  <a:solidFill>
                    <a:schemeClr val="tx1"/>
                  </a:solidFill>
                  <a:effectLst/>
                  <a:latin typeface="+mn-lt"/>
                  <a:ea typeface="+mn-ea"/>
                  <a:cs typeface="+mn-cs"/>
                </a:rPr>
                <a:t>"(</a:t>
              </a:r>
              <a:r>
                <a:rPr lang="es-CO" sz="800" b="1" i="0">
                  <a:solidFill>
                    <a:schemeClr val="tx1"/>
                  </a:solidFill>
                  <a:effectLst/>
                  <a:latin typeface="Cambria Math" panose="02040503050406030204" pitchFamily="18" charset="0"/>
                  <a:ea typeface="+mn-ea"/>
                  <a:cs typeface="+mn-cs"/>
                </a:rPr>
                <a:t>"  (𝑬_𝑴𝒂𝒙  − 𝑬_𝑴𝒊𝒏)/√𝟏𝟐</a:t>
              </a:r>
              <a:r>
                <a:rPr lang="es-CO" sz="800" b="1" i="0">
                  <a:solidFill>
                    <a:schemeClr val="tx1"/>
                  </a:solidFill>
                  <a:effectLst/>
                  <a:latin typeface="+mn-lt"/>
                  <a:ea typeface="+mn-ea"/>
                  <a:cs typeface="+mn-cs"/>
                </a:rPr>
                <a:t> ")</a:t>
              </a:r>
              <a:r>
                <a:rPr lang="es-CO" sz="800" b="1" i="0">
                  <a:effectLst/>
                </a:rPr>
                <a:t> </a:t>
              </a:r>
              <a:r>
                <a:rPr lang="es-CO" sz="800" b="1" i="0">
                  <a:effectLst/>
                  <a:latin typeface="Cambria Math" panose="02040503050406030204" pitchFamily="18" charset="0"/>
                </a:rPr>
                <a:t>" 〗^</a:t>
              </a:r>
              <a:r>
                <a:rPr lang="es-CO" sz="800" b="1" i="0">
                  <a:latin typeface="Cambria Math" panose="02040503050406030204" pitchFamily="18" charset="0"/>
                </a:rPr>
                <a:t>𝟐</a:t>
              </a:r>
              <a:endParaRPr lang="es-CO" sz="800" b="1"/>
            </a:p>
          </xdr:txBody>
        </xdr:sp>
      </mc:Fallback>
    </mc:AlternateContent>
    <xdr:clientData/>
  </xdr:oneCellAnchor>
  <xdr:oneCellAnchor>
    <xdr:from>
      <xdr:col>2</xdr:col>
      <xdr:colOff>404197</xdr:colOff>
      <xdr:row>43</xdr:row>
      <xdr:rowOff>231322</xdr:rowOff>
    </xdr:from>
    <xdr:ext cx="575517" cy="172227"/>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600-000018000000}"/>
                </a:ext>
              </a:extLst>
            </xdr:cNvPr>
            <xdr:cNvSpPr txBox="1"/>
          </xdr:nvSpPr>
          <xdr:spPr>
            <a:xfrm>
              <a:off x="2499697" y="19548022"/>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14:m>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𝑽</m:t>
                      </m:r>
                    </m:e>
                    <m:sub>
                      <m:r>
                        <a:rPr lang="es-CO" sz="1100" b="1" i="1">
                          <a:latin typeface="Cambria Math" panose="02040503050406030204" pitchFamily="18" charset="0"/>
                        </a:rPr>
                        <m:t>𝒎𝒊𝒏</m:t>
                      </m:r>
                    </m:sub>
                  </m:sSub>
                </m:oMath>
              </a14:m>
              <a:r>
                <a:rPr lang="es-CO" sz="1100" b="1"/>
                <a:t>)</a:t>
              </a:r>
            </a:p>
          </xdr:txBody>
        </xdr:sp>
      </mc:Choice>
      <mc:Fallback xmlns="">
        <xdr:sp macro="" textlink="">
          <xdr:nvSpPr>
            <xdr:cNvPr id="24" name="CuadroTexto 23">
              <a:extLst>
                <a:ext uri="{FF2B5EF4-FFF2-40B4-BE49-F238E27FC236}">
                  <a16:creationId xmlns:a16="http://schemas.microsoft.com/office/drawing/2014/main" id="{F84BE114-1A17-4260-9182-7CE37890CBB5}"/>
                </a:ext>
              </a:extLst>
            </xdr:cNvPr>
            <xdr:cNvSpPr txBox="1"/>
          </xdr:nvSpPr>
          <xdr:spPr>
            <a:xfrm>
              <a:off x="2499697" y="19548022"/>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r>
                <a:rPr lang="es-CO" sz="1100" b="1" i="0">
                  <a:latin typeface="Cambria Math" panose="02040503050406030204" pitchFamily="18" charset="0"/>
                </a:rPr>
                <a:t>𝑽_𝒎𝒊𝒏</a:t>
              </a:r>
              <a:r>
                <a:rPr lang="es-CO" sz="1100" b="1"/>
                <a:t>)</a:t>
              </a:r>
            </a:p>
          </xdr:txBody>
        </xdr:sp>
      </mc:Fallback>
    </mc:AlternateContent>
    <xdr:clientData/>
  </xdr:oneCellAnchor>
  <xdr:oneCellAnchor>
    <xdr:from>
      <xdr:col>21</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0600-000019000000}"/>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25" name="CuadroTexto 24">
              <a:extLst>
                <a:ext uri="{FF2B5EF4-FFF2-40B4-BE49-F238E27FC236}">
                  <a16:creationId xmlns:a16="http://schemas.microsoft.com/office/drawing/2014/main" id="{49BD9A00-6498-490C-86AB-3209659A63B0}"/>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xdr:col>
      <xdr:colOff>316673</xdr:colOff>
      <xdr:row>42</xdr:row>
      <xdr:rowOff>217716</xdr:rowOff>
    </xdr:from>
    <xdr:ext cx="622220" cy="172227"/>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600-00001A000000}"/>
                </a:ext>
              </a:extLst>
            </xdr:cNvPr>
            <xdr:cNvSpPr txBox="1"/>
          </xdr:nvSpPr>
          <xdr:spPr>
            <a:xfrm>
              <a:off x="2412173" y="19029591"/>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14:m>
                <m:oMath xmlns:m="http://schemas.openxmlformats.org/officeDocument/2006/math">
                  <m:d>
                    <m:dPr>
                      <m:ctrlPr>
                        <a:rPr lang="es-CO" sz="1100" b="1" i="1">
                          <a:solidFill>
                            <a:sysClr val="windowText" lastClr="000000"/>
                          </a:solidFill>
                          <a:effectLst/>
                          <a:latin typeface="Cambria Math" panose="02040503050406030204" pitchFamily="18" charset="0"/>
                          <a:ea typeface="+mn-ea"/>
                          <a:cs typeface="+mn-cs"/>
                        </a:rPr>
                      </m:ctrlPr>
                    </m:dPr>
                    <m:e>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𝒎𝒂𝒙</m:t>
                          </m:r>
                        </m:sub>
                      </m:sSub>
                    </m:e>
                  </m:d>
                </m:oMath>
              </a14:m>
              <a:endParaRPr lang="es-CO" sz="1100" b="1">
                <a:solidFill>
                  <a:sysClr val="windowText" lastClr="000000"/>
                </a:solidFill>
              </a:endParaRPr>
            </a:p>
          </xdr:txBody>
        </xdr:sp>
      </mc:Choice>
      <mc:Fallback xmlns="">
        <xdr:sp macro="" textlink="">
          <xdr:nvSpPr>
            <xdr:cNvPr id="26" name="CuadroTexto 25">
              <a:extLst>
                <a:ext uri="{FF2B5EF4-FFF2-40B4-BE49-F238E27FC236}">
                  <a16:creationId xmlns:a16="http://schemas.microsoft.com/office/drawing/2014/main" id="{15F03A96-378C-4025-B502-5B46DCC19967}"/>
                </a:ext>
              </a:extLst>
            </xdr:cNvPr>
            <xdr:cNvSpPr txBox="1"/>
          </xdr:nvSpPr>
          <xdr:spPr>
            <a:xfrm>
              <a:off x="2412173" y="19029591"/>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r>
                <a:rPr lang="es-CO" sz="1100" b="1" i="0">
                  <a:solidFill>
                    <a:sysClr val="windowText" lastClr="000000"/>
                  </a:solidFill>
                  <a:effectLst/>
                  <a:latin typeface="Cambria Math" panose="02040503050406030204" pitchFamily="18" charset="0"/>
                  <a:ea typeface="+mn-ea"/>
                  <a:cs typeface="+mn-cs"/>
                </a:rPr>
                <a:t>(𝑽_𝒎𝒂𝒙 )</a:t>
              </a:r>
              <a:endParaRPr lang="es-CO" sz="1100" b="1">
                <a:solidFill>
                  <a:sysClr val="windowText" lastClr="000000"/>
                </a:solidFill>
              </a:endParaRPr>
            </a:p>
          </xdr:txBody>
        </xdr:sp>
      </mc:Fallback>
    </mc:AlternateContent>
    <xdr:clientData/>
  </xdr:oneCellAnchor>
  <xdr:oneCellAnchor>
    <xdr:from>
      <xdr:col>18</xdr:col>
      <xdr:colOff>342141</xdr:colOff>
      <xdr:row>9</xdr:row>
      <xdr:rowOff>163285</xdr:rowOff>
    </xdr:from>
    <xdr:ext cx="392645" cy="172227"/>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600-00001B000000}"/>
                </a:ext>
              </a:extLst>
            </xdr:cNvPr>
            <xdr:cNvSpPr txBox="1"/>
          </xdr:nvSpPr>
          <xdr:spPr>
            <a:xfrm>
              <a:off x="19401666" y="4078060"/>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𝑽</m:t>
                        </m:r>
                      </m:e>
                      <m:sub>
                        <m:r>
                          <a:rPr lang="es-CO" sz="1100" b="1" i="1">
                            <a:solidFill>
                              <a:schemeClr val="tx1"/>
                            </a:solidFill>
                            <a:effectLst/>
                            <a:latin typeface="Cambria Math" panose="02040503050406030204" pitchFamily="18" charset="0"/>
                            <a:ea typeface="+mn-ea"/>
                            <a:cs typeface="+mn-cs"/>
                          </a:rPr>
                          <m:t>𝑴𝒂𝒙</m:t>
                        </m:r>
                      </m:sub>
                    </m:sSub>
                  </m:oMath>
                </m:oMathPara>
              </a14:m>
              <a:endParaRPr lang="es-CO" sz="1100"/>
            </a:p>
          </xdr:txBody>
        </xdr:sp>
      </mc:Choice>
      <mc:Fallback xmlns="">
        <xdr:sp macro="" textlink="">
          <xdr:nvSpPr>
            <xdr:cNvPr id="27" name="CuadroTexto 26">
              <a:extLst>
                <a:ext uri="{FF2B5EF4-FFF2-40B4-BE49-F238E27FC236}">
                  <a16:creationId xmlns:a16="http://schemas.microsoft.com/office/drawing/2014/main" id="{267FA77D-4744-4C58-A76A-95C60EA17729}"/>
                </a:ext>
              </a:extLst>
            </xdr:cNvPr>
            <xdr:cNvSpPr txBox="1"/>
          </xdr:nvSpPr>
          <xdr:spPr>
            <a:xfrm>
              <a:off x="19401666" y="4078060"/>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tx1"/>
                  </a:solidFill>
                  <a:effectLst/>
                  <a:latin typeface="Cambria Math" panose="02040503050406030204" pitchFamily="18" charset="0"/>
                  <a:ea typeface="+mn-ea"/>
                  <a:cs typeface="+mn-cs"/>
                </a:rPr>
                <a:t>𝑽_𝑴𝒂𝒙</a:t>
              </a:r>
              <a:endParaRPr lang="es-CO" sz="1100"/>
            </a:p>
          </xdr:txBody>
        </xdr:sp>
      </mc:Fallback>
    </mc:AlternateContent>
    <xdr:clientData/>
  </xdr:oneCellAnchor>
  <xdr:oneCellAnchor>
    <xdr:from>
      <xdr:col>19</xdr:col>
      <xdr:colOff>199398</xdr:colOff>
      <xdr:row>9</xdr:row>
      <xdr:rowOff>174955</xdr:rowOff>
    </xdr:from>
    <xdr:ext cx="681319" cy="172227"/>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600-00001C000000}"/>
                </a:ext>
              </a:extLst>
            </xdr:cNvPr>
            <xdr:cNvSpPr txBox="1"/>
          </xdr:nvSpPr>
          <xdr:spPr>
            <a:xfrm>
              <a:off x="20306673" y="4089730"/>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𝑴𝒊𝒏</m:t>
                        </m:r>
                      </m:sub>
                    </m:sSub>
                  </m:oMath>
                </m:oMathPara>
              </a14:m>
              <a:endParaRPr lang="es-CO" sz="1100">
                <a:solidFill>
                  <a:sysClr val="windowText" lastClr="000000"/>
                </a:solidFill>
              </a:endParaRPr>
            </a:p>
          </xdr:txBody>
        </xdr:sp>
      </mc:Choice>
      <mc:Fallback xmlns="">
        <xdr:sp macro="" textlink="">
          <xdr:nvSpPr>
            <xdr:cNvPr id="28" name="CuadroTexto 27">
              <a:extLst>
                <a:ext uri="{FF2B5EF4-FFF2-40B4-BE49-F238E27FC236}">
                  <a16:creationId xmlns:a16="http://schemas.microsoft.com/office/drawing/2014/main" id="{42CA5217-8AE1-424A-9C90-2F0AD68FC28D}"/>
                </a:ext>
              </a:extLst>
            </xdr:cNvPr>
            <xdr:cNvSpPr txBox="1"/>
          </xdr:nvSpPr>
          <xdr:spPr>
            <a:xfrm>
              <a:off x="20306673" y="4089730"/>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ysClr val="windowText" lastClr="000000"/>
                  </a:solidFill>
                  <a:effectLst/>
                  <a:latin typeface="Cambria Math" panose="02040503050406030204" pitchFamily="18" charset="0"/>
                  <a:ea typeface="+mn-ea"/>
                  <a:cs typeface="+mn-cs"/>
                </a:rPr>
                <a:t>𝑽_𝑴𝒊𝒏</a:t>
              </a:r>
              <a:endParaRPr lang="es-CO" sz="1100">
                <a:solidFill>
                  <a:sysClr val="windowText" lastClr="000000"/>
                </a:solidFill>
              </a:endParaRPr>
            </a:p>
          </xdr:txBody>
        </xdr:sp>
      </mc:Fallback>
    </mc:AlternateContent>
    <xdr:clientData/>
  </xdr:oneCellAnchor>
  <xdr:oneCellAnchor>
    <xdr:from>
      <xdr:col>16</xdr:col>
      <xdr:colOff>398346</xdr:colOff>
      <xdr:row>18</xdr:row>
      <xdr:rowOff>232833</xdr:rowOff>
    </xdr:from>
    <xdr:ext cx="2501487" cy="44358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600-00001D000000}"/>
                </a:ext>
              </a:extLst>
            </xdr:cNvPr>
            <xdr:cNvSpPr txBox="1"/>
          </xdr:nvSpPr>
          <xdr:spPr>
            <a:xfrm>
              <a:off x="17362371" y="8814858"/>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𝑴𝒂𝒙</m:t>
                            </m:r>
                          </m:sub>
                        </m:sSub>
                        <m:r>
                          <a:rPr lang="es-CO" sz="1400" b="1" i="1">
                            <a:solidFill>
                              <a:schemeClr val="tx1"/>
                            </a:solidFill>
                            <a:effectLst/>
                            <a:latin typeface="Cambria Math" panose="02040503050406030204" pitchFamily="18" charset="0"/>
                            <a:ea typeface="+mn-ea"/>
                            <a:cs typeface="+mn-cs"/>
                          </a:rPr>
                          <m:t> −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𝑴𝒊𝒏</m:t>
                            </m:r>
                          </m:sub>
                        </m:sSub>
                      </m:num>
                      <m:den>
                        <m:rad>
                          <m:radPr>
                            <m:degHide m:val="on"/>
                            <m:ctrlPr>
                              <a:rPr lang="es-CO" sz="1400" b="1" i="1">
                                <a:solidFill>
                                  <a:schemeClr val="tx1"/>
                                </a:solidFill>
                                <a:effectLst/>
                                <a:latin typeface="Cambria Math" panose="02040503050406030204" pitchFamily="18" charset="0"/>
                                <a:ea typeface="+mn-ea"/>
                                <a:cs typeface="+mn-cs"/>
                              </a:rPr>
                            </m:ctrlPr>
                          </m:radPr>
                          <m:deg/>
                          <m:e>
                            <m:r>
                              <a:rPr lang="es-CO" sz="1400" b="1" i="1">
                                <a:solidFill>
                                  <a:schemeClr val="tx1"/>
                                </a:solidFill>
                                <a:effectLst/>
                                <a:latin typeface="Cambria Math" panose="02040503050406030204" pitchFamily="18" charset="0"/>
                                <a:ea typeface="+mn-ea"/>
                                <a:cs typeface="+mn-cs"/>
                              </a:rPr>
                              <m:t>𝟏𝟐</m:t>
                            </m:r>
                          </m:e>
                        </m:rad>
                      </m:den>
                    </m:f>
                  </m:oMath>
                </m:oMathPara>
              </a14:m>
              <a:endParaRPr lang="es-CO" sz="1400" b="1">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9" name="CuadroTexto 28">
              <a:extLst>
                <a:ext uri="{FF2B5EF4-FFF2-40B4-BE49-F238E27FC236}">
                  <a16:creationId xmlns:a16="http://schemas.microsoft.com/office/drawing/2014/main" id="{8528122F-23ED-423C-A429-801C1EECC571}"/>
                </a:ext>
              </a:extLst>
            </xdr:cNvPr>
            <xdr:cNvSpPr txBox="1"/>
          </xdr:nvSpPr>
          <xdr:spPr>
            <a:xfrm>
              <a:off x="17362371" y="8814858"/>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(𝑬_𝑴𝒂𝒙  − 𝑬_𝑴𝒊𝒏)/√𝟏𝟐</a:t>
              </a:r>
              <a:endParaRPr lang="es-CO" sz="1400" b="1">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516714</xdr:colOff>
      <xdr:row>45</xdr:row>
      <xdr:rowOff>300465</xdr:rowOff>
    </xdr:from>
    <xdr:ext cx="413639" cy="172227"/>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0600-00001E000000}"/>
                </a:ext>
              </a:extLst>
            </xdr:cNvPr>
            <xdr:cNvSpPr txBox="1"/>
          </xdr:nvSpPr>
          <xdr:spPr>
            <a:xfrm>
              <a:off x="2612214" y="20626815"/>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𝒎𝒊𝒏</m:t>
                        </m:r>
                      </m:sub>
                    </m:sSub>
                  </m:oMath>
                </m:oMathPara>
              </a14:m>
              <a:endParaRPr lang="es-CO" sz="1100" b="1"/>
            </a:p>
          </xdr:txBody>
        </xdr:sp>
      </mc:Choice>
      <mc:Fallback xmlns="">
        <xdr:sp macro="" textlink="">
          <xdr:nvSpPr>
            <xdr:cNvPr id="30" name="CuadroTexto 29">
              <a:extLst>
                <a:ext uri="{FF2B5EF4-FFF2-40B4-BE49-F238E27FC236}">
                  <a16:creationId xmlns:a16="http://schemas.microsoft.com/office/drawing/2014/main" id="{EE46D878-B055-4303-BCD4-728701D50D63}"/>
                </a:ext>
              </a:extLst>
            </xdr:cNvPr>
            <xdr:cNvSpPr txBox="1"/>
          </xdr:nvSpPr>
          <xdr:spPr>
            <a:xfrm>
              <a:off x="2612214" y="20626815"/>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𝒎𝒊𝒏</a:t>
              </a:r>
              <a:endParaRPr lang="es-CO" sz="1100" b="1"/>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600-00001F000000}"/>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id="{61147F94-DF1C-4014-9583-1BD2FF8D5F63}"/>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twoCellAnchor>
    <xdr:from>
      <xdr:col>13</xdr:col>
      <xdr:colOff>9525</xdr:colOff>
      <xdr:row>9</xdr:row>
      <xdr:rowOff>301625</xdr:rowOff>
    </xdr:from>
    <xdr:to>
      <xdr:col>16</xdr:col>
      <xdr:colOff>396875</xdr:colOff>
      <xdr:row>12</xdr:row>
      <xdr:rowOff>485775</xdr:rowOff>
    </xdr:to>
    <xdr:cxnSp macro="">
      <xdr:nvCxnSpPr>
        <xdr:cNvPr id="32" name="Conector recto de flecha 31">
          <a:extLst>
            <a:ext uri="{FF2B5EF4-FFF2-40B4-BE49-F238E27FC236}">
              <a16:creationId xmlns:a16="http://schemas.microsoft.com/office/drawing/2014/main" xmlns="" id="{00000000-0008-0000-0600-000020000000}"/>
            </a:ext>
          </a:extLst>
        </xdr:cNvPr>
        <xdr:cNvCxnSpPr/>
      </xdr:nvCxnSpPr>
      <xdr:spPr>
        <a:xfrm flipV="1">
          <a:off x="13830300" y="4216400"/>
          <a:ext cx="3530600" cy="1698625"/>
        </a:xfrm>
        <a:prstGeom prst="straightConnector1">
          <a:avLst/>
        </a:prstGeom>
        <a:ln w="28575">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408644</xdr:colOff>
      <xdr:row>61</xdr:row>
      <xdr:rowOff>0</xdr:rowOff>
    </xdr:from>
    <xdr:ext cx="65" cy="172227"/>
    <xdr:sp macro="" textlink="">
      <xdr:nvSpPr>
        <xdr:cNvPr id="33" name="CuadroTexto 32">
          <a:extLst>
            <a:ext uri="{FF2B5EF4-FFF2-40B4-BE49-F238E27FC236}">
              <a16:creationId xmlns:a16="http://schemas.microsoft.com/office/drawing/2014/main" xmlns="" id="{00000000-0008-0000-0600-000021000000}"/>
            </a:ext>
          </a:extLst>
        </xdr:cNvPr>
        <xdr:cNvSpPr txBox="1"/>
      </xdr:nvSpPr>
      <xdr:spPr>
        <a:xfrm>
          <a:off x="2504144" y="2746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twoCellAnchor editAs="oneCell">
    <xdr:from>
      <xdr:col>0</xdr:col>
      <xdr:colOff>373856</xdr:colOff>
      <xdr:row>0</xdr:row>
      <xdr:rowOff>142875</xdr:rowOff>
    </xdr:from>
    <xdr:to>
      <xdr:col>2</xdr:col>
      <xdr:colOff>647700</xdr:colOff>
      <xdr:row>0</xdr:row>
      <xdr:rowOff>876300</xdr:rowOff>
    </xdr:to>
    <xdr:pic>
      <xdr:nvPicPr>
        <xdr:cNvPr id="34" name="11 Imagen">
          <a:extLst>
            <a:ext uri="{FF2B5EF4-FFF2-40B4-BE49-F238E27FC236}">
              <a16:creationId xmlns:a16="http://schemas.microsoft.com/office/drawing/2014/main" xmlns="" id="{00000000-0008-0000-0600-000022000000}"/>
            </a:ext>
          </a:extLst>
        </xdr:cNvPr>
        <xdr:cNvPicPr>
          <a:picLocks noChangeAspect="1"/>
        </xdr:cNvPicPr>
      </xdr:nvPicPr>
      <xdr:blipFill>
        <a:blip xmlns:r="http://schemas.openxmlformats.org/officeDocument/2006/relationships" r:embed="rId1"/>
        <a:stretch>
          <a:fillRect/>
        </a:stretch>
      </xdr:blipFill>
      <xdr:spPr>
        <a:xfrm>
          <a:off x="373856" y="142875"/>
          <a:ext cx="2369344" cy="733425"/>
        </a:xfrm>
        <a:prstGeom prst="rect">
          <a:avLst/>
        </a:prstGeom>
      </xdr:spPr>
    </xdr:pic>
    <xdr:clientData/>
  </xdr:twoCellAnchor>
  <xdr:twoCellAnchor>
    <xdr:from>
      <xdr:col>17</xdr:col>
      <xdr:colOff>238125</xdr:colOff>
      <xdr:row>13</xdr:row>
      <xdr:rowOff>205580</xdr:rowOff>
    </xdr:from>
    <xdr:to>
      <xdr:col>19</xdr:col>
      <xdr:colOff>857250</xdr:colOff>
      <xdr:row>15</xdr:row>
      <xdr:rowOff>227795</xdr:rowOff>
    </xdr:to>
    <xdr:pic>
      <xdr:nvPicPr>
        <xdr:cNvPr id="35" name="3 Imagen">
          <a:extLst>
            <a:ext uri="{FF2B5EF4-FFF2-40B4-BE49-F238E27FC236}">
              <a16:creationId xmlns:a16="http://schemas.microsoft.com/office/drawing/2014/main" xmlns="" id="{00000000-0008-0000-0600-00002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BEBA8EAE-BF5A-486C-A8C5-ECC9F3942E4B}">
              <a14:imgProps xmlns:a14="http://schemas.microsoft.com/office/drawing/2010/main">
                <a14:imgLayer r:embed="rId3">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18249900" y="6139655"/>
          <a:ext cx="2714625" cy="1031865"/>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273846</xdr:colOff>
      <xdr:row>20</xdr:row>
      <xdr:rowOff>159963</xdr:rowOff>
    </xdr:from>
    <xdr:to>
      <xdr:col>5</xdr:col>
      <xdr:colOff>476251</xdr:colOff>
      <xdr:row>21</xdr:row>
      <xdr:rowOff>403615</xdr:rowOff>
    </xdr:to>
    <xdr:pic>
      <xdr:nvPicPr>
        <xdr:cNvPr id="36" name="2 Imagen">
          <a:extLst>
            <a:ext uri="{FF2B5EF4-FFF2-40B4-BE49-F238E27FC236}">
              <a16:creationId xmlns:a16="http://schemas.microsoft.com/office/drawing/2014/main" xmlns="" id="{00000000-0008-0000-0600-000024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BEBA8EAE-BF5A-486C-A8C5-ECC9F3942E4B}">
              <a14:imgProps xmlns:a14="http://schemas.microsoft.com/office/drawing/2010/main">
                <a14:imgLayer r:embed="rId5">
                  <a14:imgEffect>
                    <a14:brightnessContrast bright="-20000"/>
                  </a14:imgEffect>
                </a14:imgLayer>
              </a14:imgProps>
            </a:ext>
            <a:ext uri="{28A0092B-C50C-407E-A947-70E740481C1C}">
              <a14:useLocalDpi xmlns:a14="http://schemas.microsoft.com/office/drawing/2010/main" val="0"/>
            </a:ext>
          </a:extLst>
        </a:blip>
        <a:srcRect/>
        <a:stretch>
          <a:fillRect/>
        </a:stretch>
      </xdr:blipFill>
      <xdr:spPr bwMode="auto">
        <a:xfrm>
          <a:off x="3417096" y="9938963"/>
          <a:ext cx="2377280" cy="87865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380999</xdr:colOff>
      <xdr:row>0</xdr:row>
      <xdr:rowOff>59532</xdr:rowOff>
    </xdr:from>
    <xdr:to>
      <xdr:col>2</xdr:col>
      <xdr:colOff>76200</xdr:colOff>
      <xdr:row>0</xdr:row>
      <xdr:rowOff>561975</xdr:rowOff>
    </xdr:to>
    <xdr:pic>
      <xdr:nvPicPr>
        <xdr:cNvPr id="2" name="3 Imagen">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stretch>
          <a:fillRect/>
        </a:stretch>
      </xdr:blipFill>
      <xdr:spPr>
        <a:xfrm>
          <a:off x="380999" y="59532"/>
          <a:ext cx="1638301" cy="5024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3</xdr:col>
      <xdr:colOff>180426</xdr:colOff>
      <xdr:row>105</xdr:row>
      <xdr:rowOff>70480</xdr:rowOff>
    </xdr:from>
    <xdr:ext cx="4010574" cy="22320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800-00000F000000}"/>
                </a:ext>
              </a:extLst>
            </xdr:cNvPr>
            <xdr:cNvSpPr txBox="1"/>
          </xdr:nvSpPr>
          <xdr:spPr>
            <a:xfrm>
              <a:off x="2314026" y="37799005"/>
              <a:ext cx="4010574" cy="2232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
                  </m:oMathParaPr>
                  <m:oMath xmlns:m="http://schemas.openxmlformats.org/officeDocument/2006/math">
                    <m:r>
                      <a:rPr lang="es-CO" sz="1200" b="1" i="1">
                        <a:solidFill>
                          <a:sysClr val="windowText" lastClr="000000"/>
                        </a:solidFill>
                        <a:latin typeface="Cambria Math" panose="02040503050406030204" pitchFamily="18" charset="0"/>
                        <a:ea typeface="Cambria Math" panose="02040503050406030204" pitchFamily="18" charset="0"/>
                      </a:rPr>
                      <m:t>𝑹𝒆𝒈𝒍𝒂</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𝒅𝒆𝒄𝒊𝒔𝒊</m:t>
                    </m:r>
                    <m:r>
                      <a:rPr lang="es-CO" sz="1200" b="1" i="1">
                        <a:solidFill>
                          <a:sysClr val="windowText" lastClr="000000"/>
                        </a:solidFill>
                        <a:latin typeface="Cambria Math" panose="02040503050406030204" pitchFamily="18" charset="0"/>
                        <a:ea typeface="Cambria Math" panose="02040503050406030204" pitchFamily="18" charset="0"/>
                      </a:rPr>
                      <m:t>ó</m:t>
                    </m:r>
                    <m:r>
                      <a:rPr lang="es-CO" sz="1200" b="1" i="1">
                        <a:solidFill>
                          <a:sysClr val="windowText" lastClr="000000"/>
                        </a:solidFill>
                        <a:latin typeface="Cambria Math" panose="02040503050406030204" pitchFamily="18" charset="0"/>
                        <a:ea typeface="Cambria Math" panose="02040503050406030204" pitchFamily="18" charset="0"/>
                      </a:rPr>
                      <m:t>𝒏</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0">
                        <a:solidFill>
                          <a:sysClr val="windowText" lastClr="000000"/>
                        </a:solidFill>
                        <a:latin typeface="Cambria Math" panose="02040503050406030204" pitchFamily="18" charset="0"/>
                        <a:ea typeface="Cambria Math" panose="02040503050406030204" pitchFamily="18" charset="0"/>
                      </a:rPr>
                      <m:t>𝐄</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𝑼</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𝑬𝑴𝑷</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𝑪𝑼𝑴𝑷𝑳𝑬</m:t>
                    </m:r>
                  </m:oMath>
                </m:oMathPara>
              </a14:m>
              <a:endParaRPr lang="es-CO" sz="1200" b="1">
                <a:solidFill>
                  <a:sysClr val="windowText" lastClr="000000"/>
                </a:solidFill>
                <a:latin typeface="Arial" panose="020B0604020202020204" pitchFamily="34" charset="0"/>
                <a:cs typeface="Arial" panose="020B0604020202020204" pitchFamily="34" charset="0"/>
              </a:endParaRPr>
            </a:p>
          </xdr:txBody>
        </xdr:sp>
      </mc:Choice>
      <mc:Fallback xmlns="">
        <xdr:sp macro="" textlink="">
          <xdr:nvSpPr>
            <xdr:cNvPr id="15" name="CuadroTexto 14">
              <a:extLst>
                <a:ext uri="{FF2B5EF4-FFF2-40B4-BE49-F238E27FC236}">
                  <a16:creationId xmlns:a16="http://schemas.microsoft.com/office/drawing/2014/main" id="{00000000-0008-0000-0800-00000F000000}"/>
                </a:ext>
              </a:extLst>
            </xdr:cNvPr>
            <xdr:cNvSpPr txBox="1"/>
          </xdr:nvSpPr>
          <xdr:spPr>
            <a:xfrm>
              <a:off x="2314026" y="37799005"/>
              <a:ext cx="4010574" cy="2232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r>
                <a:rPr lang="es-CO" sz="1200" b="1" i="0">
                  <a:solidFill>
                    <a:sysClr val="windowText" lastClr="000000"/>
                  </a:solidFill>
                  <a:latin typeface="Cambria Math" panose="02040503050406030204" pitchFamily="18" charset="0"/>
                  <a:ea typeface="Cambria Math" panose="02040503050406030204" pitchFamily="18" charset="0"/>
                </a:rPr>
                <a:t>𝑹𝒆𝒈𝒍𝒂 𝒅𝒆 𝒅𝒆𝒄𝒊𝒔𝒊ó𝒏=|𝐄|+𝑼≤𝑬𝑴𝑷=𝑪𝑼𝑴𝑷𝑳𝑬</a:t>
              </a:r>
              <a:endParaRPr lang="es-CO" sz="1200" b="1">
                <a:solidFill>
                  <a:sysClr val="windowText" lastClr="000000"/>
                </a:solidFill>
                <a:latin typeface="Arial" panose="020B0604020202020204" pitchFamily="34" charset="0"/>
                <a:cs typeface="Arial" panose="020B0604020202020204" pitchFamily="34" charset="0"/>
              </a:endParaRPr>
            </a:p>
          </xdr:txBody>
        </xdr:sp>
      </mc:Fallback>
    </mc:AlternateContent>
    <xdr:clientData/>
  </xdr:oneCellAnchor>
  <xdr:oneCellAnchor>
    <xdr:from>
      <xdr:col>3</xdr:col>
      <xdr:colOff>0</xdr:colOff>
      <xdr:row>36</xdr:row>
      <xdr:rowOff>1</xdr:rowOff>
    </xdr:from>
    <xdr:ext cx="5943599" cy="68580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00000000-0008-0000-0800-000010000000}"/>
                </a:ext>
              </a:extLst>
            </xdr:cNvPr>
            <xdr:cNvSpPr txBox="1"/>
          </xdr:nvSpPr>
          <xdr:spPr>
            <a:xfrm>
              <a:off x="2133600" y="15078076"/>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r>
                      <a:rPr lang="es-MX" sz="1800" b="0" i="1">
                        <a:latin typeface="Cambria Math" panose="02040503050406030204" pitchFamily="18" charset="0"/>
                      </a:rPr>
                      <m:t>=</m:t>
                    </m:r>
                    <m:d>
                      <m:dPr>
                        <m:ctrlPr>
                          <a:rPr lang="es-MX" sz="1800" b="0" i="1">
                            <a:latin typeface="Cambria Math" panose="02040503050406030204" pitchFamily="18" charset="0"/>
                          </a:rPr>
                        </m:ctrlPr>
                      </m:dPr>
                      <m:e>
                        <m:sSub>
                          <m:sSubPr>
                            <m:ctrlPr>
                              <a:rPr lang="es-MX" sz="1800" b="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r>
                          <a:rPr lang="es-MX" sz="1800" b="0" i="1">
                            <a:latin typeface="Cambria Math" panose="02040503050406030204" pitchFamily="18" charset="0"/>
                          </a:rPr>
                          <m:t>−</m:t>
                        </m:r>
                        <m:sSub>
                          <m:sSubPr>
                            <m:ctrlPr>
                              <a:rPr lang="es-MX" sz="1800" b="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e>
                    </m:d>
                    <m:r>
                      <a:rPr lang="es-MX" sz="1800" b="0" i="1">
                        <a:latin typeface="Cambria Math" panose="02040503050406030204" pitchFamily="18" charset="0"/>
                      </a:rPr>
                      <m:t>∗</m:t>
                    </m:r>
                    <m:f>
                      <m:fPr>
                        <m:ctrlPr>
                          <a:rPr lang="es-MX" sz="1800" b="0" i="1">
                            <a:latin typeface="Cambria Math" panose="02040503050406030204" pitchFamily="18" charset="0"/>
                          </a:rPr>
                        </m:ctrlPr>
                      </m:fPr>
                      <m:num>
                        <m:r>
                          <a:rPr lang="es-MX" sz="1800" b="0" i="1">
                            <a:latin typeface="Cambria Math" panose="02040503050406030204" pitchFamily="18" charset="0"/>
                          </a:rPr>
                          <m:t>1</m:t>
                        </m:r>
                      </m:num>
                      <m:den>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r>
                          <a:rPr lang="es-MX" sz="1800" b="0" i="1">
                            <a:latin typeface="Cambria Math" panose="02040503050406030204" pitchFamily="18" charset="0"/>
                          </a:rPr>
                          <m:t>−</m:t>
                        </m:r>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den>
                    </m:f>
                    <m:r>
                      <a:rPr lang="es-MX" sz="1800" b="0" i="1">
                        <a:latin typeface="Cambria Math" panose="02040503050406030204" pitchFamily="18" charset="0"/>
                      </a:rPr>
                      <m:t>∗</m:t>
                    </m:r>
                    <m:d>
                      <m:dPr>
                        <m:ctrlPr>
                          <a:rPr lang="es-MX" sz="1800" b="0" i="1">
                            <a:latin typeface="Cambria Math" panose="02040503050406030204" pitchFamily="18" charset="0"/>
                          </a:rPr>
                        </m:ctrlPr>
                      </m:dPr>
                      <m:e>
                        <m:r>
                          <a:rPr lang="es-MX" sz="1800" b="0" i="1">
                            <a:latin typeface="Cambria Math" panose="02040503050406030204" pitchFamily="18" charset="0"/>
                          </a:rPr>
                          <m:t>1−</m:t>
                        </m:r>
                        <m:f>
                          <m:fPr>
                            <m:ctrlPr>
                              <a:rPr lang="es-MX" sz="1800" b="0" i="1">
                                <a:latin typeface="Cambria Math" panose="02040503050406030204" pitchFamily="18" charset="0"/>
                              </a:rPr>
                            </m:ctrlPr>
                          </m:fPr>
                          <m:num>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num>
                          <m:den>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den>
                        </m:f>
                      </m:e>
                    </m:d>
                    <m:r>
                      <a:rPr lang="es-MX" sz="1800" b="0" i="1">
                        <a:latin typeface="Cambria Math" panose="02040503050406030204" pitchFamily="18" charset="0"/>
                      </a:rPr>
                      <m:t>∗</m:t>
                    </m:r>
                    <m:d>
                      <m:dPr>
                        <m:begChr m:val="["/>
                        <m:endChr m:val="]"/>
                        <m:ctrlPr>
                          <a:rPr lang="es-MX" sz="1800" b="0" i="1">
                            <a:latin typeface="Cambria Math" panose="02040503050406030204" pitchFamily="18" charset="0"/>
                          </a:rPr>
                        </m:ctrlPr>
                      </m:dPr>
                      <m:e>
                        <m:r>
                          <a:rPr lang="es-MX" sz="1800" b="0" i="1">
                            <a:latin typeface="Cambria Math" panose="02040503050406030204" pitchFamily="18" charset="0"/>
                          </a:rPr>
                          <m:t>1−</m:t>
                        </m:r>
                        <m:r>
                          <a:rPr lang="es-MX" sz="1800" b="0" i="1">
                            <a:latin typeface="Cambria Math" panose="02040503050406030204" pitchFamily="18" charset="0"/>
                            <a:ea typeface="Cambria Math" panose="02040503050406030204" pitchFamily="18" charset="0"/>
                          </a:rPr>
                          <m:t>𝛾</m:t>
                        </m:r>
                        <m:d>
                          <m:dPr>
                            <m:ctrlPr>
                              <a:rPr lang="es-MX" sz="1800" b="0" i="1">
                                <a:latin typeface="Cambria Math" panose="02040503050406030204" pitchFamily="18" charset="0"/>
                                <a:ea typeface="Cambria Math" panose="02040503050406030204" pitchFamily="18" charset="0"/>
                              </a:rPr>
                            </m:ctrlPr>
                          </m:dPr>
                          <m:e>
                            <m:r>
                              <a:rPr lang="es-MX" sz="1800" b="0" i="1">
                                <a:latin typeface="Cambria Math" panose="02040503050406030204" pitchFamily="18" charset="0"/>
                                <a:ea typeface="Cambria Math" panose="02040503050406030204" pitchFamily="18" charset="0"/>
                              </a:rPr>
                              <m:t>𝑡</m:t>
                            </m:r>
                            <m:r>
                              <a:rPr lang="es-MX" sz="1800" b="0" i="1">
                                <a:latin typeface="Cambria Math" panose="02040503050406030204" pitchFamily="18" charset="0"/>
                                <a:ea typeface="Cambria Math" panose="02040503050406030204" pitchFamily="18" charset="0"/>
                              </a:rPr>
                              <m:t>−</m:t>
                            </m:r>
                            <m:sSub>
                              <m:sSubPr>
                                <m:ctrlPr>
                                  <a:rPr lang="es-MX" sz="1800" b="0" i="1">
                                    <a:latin typeface="Cambria Math" panose="02040503050406030204" pitchFamily="18" charset="0"/>
                                    <a:ea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𝑡</m:t>
                                </m:r>
                              </m:e>
                              <m:sub>
                                <m:r>
                                  <a:rPr lang="es-MX" sz="1800" b="0" i="1">
                                    <a:latin typeface="Cambria Math" panose="02040503050406030204" pitchFamily="18" charset="0"/>
                                    <a:ea typeface="Cambria Math" panose="02040503050406030204" pitchFamily="18" charset="0"/>
                                  </a:rPr>
                                  <m:t>0</m:t>
                                </m:r>
                              </m:sub>
                            </m:sSub>
                          </m:e>
                        </m:d>
                      </m:e>
                    </m:d>
                  </m:oMath>
                </m:oMathPara>
              </a14:m>
              <a:endParaRPr lang="es-CO" sz="1800"/>
            </a:p>
          </xdr:txBody>
        </xdr:sp>
      </mc:Choice>
      <mc:Fallback xmlns="">
        <xdr:sp macro="" textlink="">
          <xdr:nvSpPr>
            <xdr:cNvPr id="16" name="CuadroTexto 15">
              <a:extLst>
                <a:ext uri="{FF2B5EF4-FFF2-40B4-BE49-F238E27FC236}">
                  <a16:creationId xmlns:a16="http://schemas.microsoft.com/office/drawing/2014/main" id="{251B8E68-DAAD-4940-BAAF-2B223135A6C2}"/>
                </a:ext>
              </a:extLst>
            </xdr:cNvPr>
            <xdr:cNvSpPr txBox="1"/>
          </xdr:nvSpPr>
          <xdr:spPr>
            <a:xfrm>
              <a:off x="2133600" y="15078076"/>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r>
                <a:rPr lang="es-MX" sz="1800" b="0" i="0">
                  <a:latin typeface="Cambria Math" panose="02040503050406030204" pitchFamily="18" charset="0"/>
                </a:rPr>
                <a:t>𝑉</a:t>
              </a:r>
              <a:r>
                <a:rPr lang="es-CO" sz="1800" b="0" i="0">
                  <a:latin typeface="Cambria Math" panose="02040503050406030204" pitchFamily="18" charset="0"/>
                </a:rPr>
                <a:t>_</a:t>
              </a:r>
              <a:r>
                <a:rPr lang="es-MX" sz="1800" b="0" i="0">
                  <a:latin typeface="Cambria Math" panose="02040503050406030204" pitchFamily="18" charset="0"/>
                </a:rPr>
                <a:t>0=(𝐼_𝐿−𝐼_𝐸 )∗1/(</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𝑊−</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𝐴 )∗(1−</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𝐴/</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𝐵 )∗[1−</a:t>
              </a:r>
              <a:r>
                <a:rPr lang="es-MX" sz="1800" b="0" i="0">
                  <a:latin typeface="Cambria Math" panose="02040503050406030204" pitchFamily="18" charset="0"/>
                  <a:ea typeface="Cambria Math" panose="02040503050406030204" pitchFamily="18" charset="0"/>
                </a:rPr>
                <a:t>𝛾(𝑡−𝑡_0 )]</a:t>
              </a:r>
              <a:endParaRPr lang="es-CO" sz="1800"/>
            </a:p>
          </xdr:txBody>
        </xdr:sp>
      </mc:Fallback>
    </mc:AlternateContent>
    <xdr:clientData/>
  </xdr:oneCellAnchor>
  <xdr:oneCellAnchor>
    <xdr:from>
      <xdr:col>1</xdr:col>
      <xdr:colOff>76200</xdr:colOff>
      <xdr:row>41</xdr:row>
      <xdr:rowOff>42862</xdr:rowOff>
    </xdr:from>
    <xdr:ext cx="273023" cy="281808"/>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800-000011000000}"/>
                </a:ext>
              </a:extLst>
            </xdr:cNvPr>
            <xdr:cNvSpPr txBox="1"/>
          </xdr:nvSpPr>
          <xdr:spPr>
            <a:xfrm>
              <a:off x="457200" y="16378237"/>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17" name="CuadroTexto 16">
              <a:extLst>
                <a:ext uri="{FF2B5EF4-FFF2-40B4-BE49-F238E27FC236}">
                  <a16:creationId xmlns:a16="http://schemas.microsoft.com/office/drawing/2014/main" id="{F455E07C-0C33-438F-BF82-FB7A588ECC66}"/>
                </a:ext>
              </a:extLst>
            </xdr:cNvPr>
            <xdr:cNvSpPr txBox="1"/>
          </xdr:nvSpPr>
          <xdr:spPr>
            <a:xfrm>
              <a:off x="457200" y="16378237"/>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𝑉</a:t>
              </a:r>
              <a:r>
                <a:rPr lang="es-CO" sz="1800" b="0" i="0">
                  <a:latin typeface="Cambria Math" panose="02040503050406030204" pitchFamily="18" charset="0"/>
                </a:rPr>
                <a:t>_</a:t>
              </a:r>
              <a:r>
                <a:rPr lang="es-MX" sz="1800" b="0" i="0">
                  <a:latin typeface="Cambria Math" panose="02040503050406030204" pitchFamily="18" charset="0"/>
                </a:rPr>
                <a:t>0</a:t>
              </a:r>
              <a:endParaRPr lang="es-CO" sz="1800"/>
            </a:p>
          </xdr:txBody>
        </xdr:sp>
      </mc:Fallback>
    </mc:AlternateContent>
    <xdr:clientData/>
  </xdr:oneCellAnchor>
  <xdr:oneCellAnchor>
    <xdr:from>
      <xdr:col>1</xdr:col>
      <xdr:colOff>66675</xdr:colOff>
      <xdr:row>43</xdr:row>
      <xdr:rowOff>4762</xdr:rowOff>
    </xdr:from>
    <xdr:ext cx="232308" cy="281808"/>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800-000012000000}"/>
                </a:ext>
              </a:extLst>
            </xdr:cNvPr>
            <xdr:cNvSpPr txBox="1"/>
          </xdr:nvSpPr>
          <xdr:spPr>
            <a:xfrm>
              <a:off x="447675" y="16816387"/>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oMath>
                </m:oMathPara>
              </a14:m>
              <a:endParaRPr lang="es-CO" sz="1800"/>
            </a:p>
          </xdr:txBody>
        </xdr:sp>
      </mc:Choice>
      <mc:Fallback xmlns="">
        <xdr:sp macro="" textlink="">
          <xdr:nvSpPr>
            <xdr:cNvPr id="18" name="CuadroTexto 17">
              <a:extLst>
                <a:ext uri="{FF2B5EF4-FFF2-40B4-BE49-F238E27FC236}">
                  <a16:creationId xmlns:a16="http://schemas.microsoft.com/office/drawing/2014/main" id="{80A1AABA-807B-464B-8671-00F30F1344C8}"/>
                </a:ext>
              </a:extLst>
            </xdr:cNvPr>
            <xdr:cNvSpPr txBox="1"/>
          </xdr:nvSpPr>
          <xdr:spPr>
            <a:xfrm>
              <a:off x="447675" y="16816387"/>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𝐼</a:t>
              </a:r>
              <a:r>
                <a:rPr lang="es-CO" sz="1800" b="0" i="0">
                  <a:latin typeface="Cambria Math" panose="02040503050406030204" pitchFamily="18" charset="0"/>
                </a:rPr>
                <a:t>_</a:t>
              </a:r>
              <a:r>
                <a:rPr lang="es-MX" sz="1800" b="0" i="0">
                  <a:latin typeface="Cambria Math" panose="02040503050406030204" pitchFamily="18" charset="0"/>
                </a:rPr>
                <a:t>𝐿</a:t>
              </a:r>
              <a:endParaRPr lang="es-CO" sz="1800"/>
            </a:p>
          </xdr:txBody>
        </xdr:sp>
      </mc:Fallback>
    </mc:AlternateContent>
    <xdr:clientData/>
  </xdr:oneCellAnchor>
  <xdr:oneCellAnchor>
    <xdr:from>
      <xdr:col>1</xdr:col>
      <xdr:colOff>47625</xdr:colOff>
      <xdr:row>45</xdr:row>
      <xdr:rowOff>85725</xdr:rowOff>
    </xdr:from>
    <xdr:ext cx="249940" cy="281808"/>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800-000013000000}"/>
                </a:ext>
              </a:extLst>
            </xdr:cNvPr>
            <xdr:cNvSpPr txBox="1"/>
          </xdr:nvSpPr>
          <xdr:spPr>
            <a:xfrm>
              <a:off x="428625" y="17297400"/>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oMath>
                </m:oMathPara>
              </a14:m>
              <a:endParaRPr lang="es-CO" sz="1800"/>
            </a:p>
          </xdr:txBody>
        </xdr:sp>
      </mc:Choice>
      <mc:Fallback xmlns="">
        <xdr:sp macro="" textlink="">
          <xdr:nvSpPr>
            <xdr:cNvPr id="19" name="CuadroTexto 18">
              <a:extLst>
                <a:ext uri="{FF2B5EF4-FFF2-40B4-BE49-F238E27FC236}">
                  <a16:creationId xmlns:a16="http://schemas.microsoft.com/office/drawing/2014/main" id="{7AFAA731-1A21-4798-B040-C4666CA28E6A}"/>
                </a:ext>
              </a:extLst>
            </xdr:cNvPr>
            <xdr:cNvSpPr txBox="1"/>
          </xdr:nvSpPr>
          <xdr:spPr>
            <a:xfrm>
              <a:off x="428625" y="17297400"/>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𝐼</a:t>
              </a:r>
              <a:r>
                <a:rPr lang="es-CO" sz="1800" b="0" i="0">
                  <a:latin typeface="Cambria Math" panose="02040503050406030204" pitchFamily="18" charset="0"/>
                </a:rPr>
                <a:t>_</a:t>
              </a:r>
              <a:r>
                <a:rPr lang="es-MX" sz="1800" b="0" i="0">
                  <a:latin typeface="Cambria Math" panose="02040503050406030204" pitchFamily="18" charset="0"/>
                </a:rPr>
                <a:t>𝐸</a:t>
              </a:r>
              <a:endParaRPr lang="es-CO" sz="1800"/>
            </a:p>
          </xdr:txBody>
        </xdr:sp>
      </mc:Fallback>
    </mc:AlternateContent>
    <xdr:clientData/>
  </xdr:oneCellAnchor>
  <xdr:oneCellAnchor>
    <xdr:from>
      <xdr:col>1</xdr:col>
      <xdr:colOff>47625</xdr:colOff>
      <xdr:row>47</xdr:row>
      <xdr:rowOff>114300</xdr:rowOff>
    </xdr:from>
    <xdr:ext cx="296235" cy="281808"/>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800-000014000000}"/>
                </a:ext>
              </a:extLst>
            </xdr:cNvPr>
            <xdr:cNvSpPr txBox="1"/>
          </xdr:nvSpPr>
          <xdr:spPr>
            <a:xfrm>
              <a:off x="428625" y="17802225"/>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oMath>
                </m:oMathPara>
              </a14:m>
              <a:endParaRPr lang="es-CO" sz="1800"/>
            </a:p>
          </xdr:txBody>
        </xdr:sp>
      </mc:Choice>
      <mc:Fallback xmlns="">
        <xdr:sp macro="" textlink="">
          <xdr:nvSpPr>
            <xdr:cNvPr id="20" name="CuadroTexto 19">
              <a:extLst>
                <a:ext uri="{FF2B5EF4-FFF2-40B4-BE49-F238E27FC236}">
                  <a16:creationId xmlns:a16="http://schemas.microsoft.com/office/drawing/2014/main" id="{42ABDDD2-D6C5-4AB1-AAB1-0FC18A6EE803}"/>
                </a:ext>
              </a:extLst>
            </xdr:cNvPr>
            <xdr:cNvSpPr txBox="1"/>
          </xdr:nvSpPr>
          <xdr:spPr>
            <a:xfrm>
              <a:off x="428625" y="17802225"/>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80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𝐴</a:t>
              </a:r>
              <a:endParaRPr lang="es-CO" sz="1800"/>
            </a:p>
          </xdr:txBody>
        </xdr:sp>
      </mc:Fallback>
    </mc:AlternateContent>
    <xdr:clientData/>
  </xdr:oneCellAnchor>
  <xdr:oneCellAnchor>
    <xdr:from>
      <xdr:col>0</xdr:col>
      <xdr:colOff>371475</xdr:colOff>
      <xdr:row>49</xdr:row>
      <xdr:rowOff>85725</xdr:rowOff>
    </xdr:from>
    <xdr:ext cx="353238" cy="281808"/>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00000000-0008-0000-0800-000015000000}"/>
                </a:ext>
              </a:extLst>
            </xdr:cNvPr>
            <xdr:cNvSpPr txBox="1"/>
          </xdr:nvSpPr>
          <xdr:spPr>
            <a:xfrm>
              <a:off x="371475" y="18249900"/>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oMath>
                </m:oMathPara>
              </a14:m>
              <a:endParaRPr lang="es-CO" sz="1800"/>
            </a:p>
          </xdr:txBody>
        </xdr:sp>
      </mc:Choice>
      <mc:Fallback xmlns="">
        <xdr:sp macro="" textlink="">
          <xdr:nvSpPr>
            <xdr:cNvPr id="21" name="CuadroTexto 20">
              <a:extLst>
                <a:ext uri="{FF2B5EF4-FFF2-40B4-BE49-F238E27FC236}">
                  <a16:creationId xmlns:a16="http://schemas.microsoft.com/office/drawing/2014/main" id="{3BA1F432-5FB9-42D9-BB9C-DFB41F4A5047}"/>
                </a:ext>
              </a:extLst>
            </xdr:cNvPr>
            <xdr:cNvSpPr txBox="1"/>
          </xdr:nvSpPr>
          <xdr:spPr>
            <a:xfrm>
              <a:off x="371475" y="18249900"/>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80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𝑊</a:t>
              </a:r>
              <a:endParaRPr lang="es-CO" sz="1800"/>
            </a:p>
          </xdr:txBody>
        </xdr:sp>
      </mc:Fallback>
    </mc:AlternateContent>
    <xdr:clientData/>
  </xdr:oneCellAnchor>
  <xdr:oneCellAnchor>
    <xdr:from>
      <xdr:col>0</xdr:col>
      <xdr:colOff>352425</xdr:colOff>
      <xdr:row>51</xdr:row>
      <xdr:rowOff>104775</xdr:rowOff>
    </xdr:from>
    <xdr:ext cx="303481" cy="281808"/>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800-000016000000}"/>
                </a:ext>
              </a:extLst>
            </xdr:cNvPr>
            <xdr:cNvSpPr txBox="1"/>
          </xdr:nvSpPr>
          <xdr:spPr>
            <a:xfrm>
              <a:off x="352425" y="18745200"/>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oMath>
                </m:oMathPara>
              </a14:m>
              <a:endParaRPr lang="es-CO" sz="1800"/>
            </a:p>
          </xdr:txBody>
        </xdr:sp>
      </mc:Choice>
      <mc:Fallback xmlns="">
        <xdr:sp macro="" textlink="">
          <xdr:nvSpPr>
            <xdr:cNvPr id="22" name="CuadroTexto 21">
              <a:extLst>
                <a:ext uri="{FF2B5EF4-FFF2-40B4-BE49-F238E27FC236}">
                  <a16:creationId xmlns:a16="http://schemas.microsoft.com/office/drawing/2014/main" id="{2D65444F-B0AA-4322-B871-0182F38199BB}"/>
                </a:ext>
              </a:extLst>
            </xdr:cNvPr>
            <xdr:cNvSpPr txBox="1"/>
          </xdr:nvSpPr>
          <xdr:spPr>
            <a:xfrm>
              <a:off x="352425" y="18745200"/>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80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𝐵</a:t>
              </a:r>
              <a:endParaRPr lang="es-CO" sz="1800"/>
            </a:p>
          </xdr:txBody>
        </xdr:sp>
      </mc:Fallback>
    </mc:AlternateContent>
    <xdr:clientData/>
  </xdr:oneCellAnchor>
  <xdr:oneCellAnchor>
    <xdr:from>
      <xdr:col>1</xdr:col>
      <xdr:colOff>14787</xdr:colOff>
      <xdr:row>53</xdr:row>
      <xdr:rowOff>123826</xdr:rowOff>
    </xdr:from>
    <xdr:ext cx="194763" cy="281808"/>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800-000017000000}"/>
                </a:ext>
              </a:extLst>
            </xdr:cNvPr>
            <xdr:cNvSpPr txBox="1"/>
          </xdr:nvSpPr>
          <xdr:spPr>
            <a:xfrm flipH="1">
              <a:off x="395787" y="19240501"/>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rPr>
                      <m:t>𝑡</m:t>
                    </m:r>
                  </m:oMath>
                </m:oMathPara>
              </a14:m>
              <a:endParaRPr lang="es-CO" sz="1800"/>
            </a:p>
          </xdr:txBody>
        </xdr:sp>
      </mc:Choice>
      <mc:Fallback xmlns="">
        <xdr:sp macro="" textlink="">
          <xdr:nvSpPr>
            <xdr:cNvPr id="23" name="CuadroTexto 22">
              <a:extLst>
                <a:ext uri="{FF2B5EF4-FFF2-40B4-BE49-F238E27FC236}">
                  <a16:creationId xmlns:a16="http://schemas.microsoft.com/office/drawing/2014/main" id="{2DE62469-A390-443C-9336-B4234F8044A8}"/>
                </a:ext>
              </a:extLst>
            </xdr:cNvPr>
            <xdr:cNvSpPr txBox="1"/>
          </xdr:nvSpPr>
          <xdr:spPr>
            <a:xfrm flipH="1">
              <a:off x="395787" y="19240501"/>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800" b="0" i="0">
                  <a:latin typeface="Cambria Math" panose="02040503050406030204" pitchFamily="18" charset="0"/>
                </a:rPr>
                <a:t>𝑡</a:t>
              </a:r>
              <a:endParaRPr lang="es-CO" sz="1800"/>
            </a:p>
          </xdr:txBody>
        </xdr:sp>
      </mc:Fallback>
    </mc:AlternateContent>
    <xdr:clientData/>
  </xdr:oneCellAnchor>
  <xdr:oneCellAnchor>
    <xdr:from>
      <xdr:col>1</xdr:col>
      <xdr:colOff>0</xdr:colOff>
      <xdr:row>56</xdr:row>
      <xdr:rowOff>28575</xdr:rowOff>
    </xdr:from>
    <xdr:ext cx="194763" cy="281808"/>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800-000018000000}"/>
                </a:ext>
              </a:extLst>
            </xdr:cNvPr>
            <xdr:cNvSpPr txBox="1"/>
          </xdr:nvSpPr>
          <xdr:spPr>
            <a:xfrm flipH="1">
              <a:off x="381000" y="19783425"/>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ea typeface="Cambria Math" panose="02040503050406030204" pitchFamily="18" charset="0"/>
                      </a:rPr>
                      <m:t>𝛾</m:t>
                    </m:r>
                  </m:oMath>
                </m:oMathPara>
              </a14:m>
              <a:endParaRPr lang="es-CO" sz="1800"/>
            </a:p>
          </xdr:txBody>
        </xdr:sp>
      </mc:Choice>
      <mc:Fallback xmlns="">
        <xdr:sp macro="" textlink="">
          <xdr:nvSpPr>
            <xdr:cNvPr id="24" name="CuadroTexto 23">
              <a:extLst>
                <a:ext uri="{FF2B5EF4-FFF2-40B4-BE49-F238E27FC236}">
                  <a16:creationId xmlns:a16="http://schemas.microsoft.com/office/drawing/2014/main" id="{82363B47-8399-483D-B1B4-8C94C07CFA66}"/>
                </a:ext>
              </a:extLst>
            </xdr:cNvPr>
            <xdr:cNvSpPr txBox="1"/>
          </xdr:nvSpPr>
          <xdr:spPr>
            <a:xfrm flipH="1">
              <a:off x="381000" y="19783425"/>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800" b="0" i="0">
                  <a:latin typeface="Cambria Math" panose="02040503050406030204" pitchFamily="18" charset="0"/>
                  <a:ea typeface="Cambria Math" panose="02040503050406030204" pitchFamily="18" charset="0"/>
                </a:rPr>
                <a:t>𝛾</a:t>
              </a:r>
              <a:endParaRPr lang="es-CO" sz="1800"/>
            </a:p>
          </xdr:txBody>
        </xdr:sp>
      </mc:Fallback>
    </mc:AlternateContent>
    <xdr:clientData/>
  </xdr:oneCellAnchor>
  <xdr:oneCellAnchor>
    <xdr:from>
      <xdr:col>1</xdr:col>
      <xdr:colOff>0</xdr:colOff>
      <xdr:row>57</xdr:row>
      <xdr:rowOff>123825</xdr:rowOff>
    </xdr:from>
    <xdr:ext cx="246927" cy="281808"/>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0800-000019000000}"/>
                </a:ext>
              </a:extLst>
            </xdr:cNvPr>
            <xdr:cNvSpPr txBox="1"/>
          </xdr:nvSpPr>
          <xdr:spPr>
            <a:xfrm>
              <a:off x="381000" y="20193000"/>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𝑡</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25" name="CuadroTexto 24">
              <a:extLst>
                <a:ext uri="{FF2B5EF4-FFF2-40B4-BE49-F238E27FC236}">
                  <a16:creationId xmlns:a16="http://schemas.microsoft.com/office/drawing/2014/main" id="{967DF4B1-7404-4089-B8CB-140C3812E4B4}"/>
                </a:ext>
              </a:extLst>
            </xdr:cNvPr>
            <xdr:cNvSpPr txBox="1"/>
          </xdr:nvSpPr>
          <xdr:spPr>
            <a:xfrm>
              <a:off x="381000" y="20193000"/>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𝑡</a:t>
              </a:r>
              <a:r>
                <a:rPr lang="es-CO" sz="1800" b="0" i="0">
                  <a:latin typeface="Cambria Math" panose="02040503050406030204" pitchFamily="18" charset="0"/>
                </a:rPr>
                <a:t>_</a:t>
              </a:r>
              <a:r>
                <a:rPr lang="es-MX" sz="1800" b="0" i="0">
                  <a:latin typeface="Cambria Math" panose="02040503050406030204" pitchFamily="18" charset="0"/>
                </a:rPr>
                <a:t>0</a:t>
              </a:r>
              <a:endParaRPr lang="es-CO" sz="180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oneCellAnchor>
    <xdr:from>
      <xdr:col>3</xdr:col>
      <xdr:colOff>359020</xdr:colOff>
      <xdr:row>86</xdr:row>
      <xdr:rowOff>293688</xdr:rowOff>
    </xdr:from>
    <xdr:ext cx="4010574" cy="223207"/>
    <mc:AlternateContent xmlns:mc="http://schemas.openxmlformats.org/markup-compatibility/2006" xmlns:a14="http://schemas.microsoft.com/office/drawing/2010/main">
      <mc:Choice Requires="a14">
        <xdr:sp macro="" textlink="">
          <xdr:nvSpPr>
            <xdr:cNvPr id="2" name="CuadroTexto 14">
              <a:extLst>
                <a:ext uri="{FF2B5EF4-FFF2-40B4-BE49-F238E27FC236}">
                  <a16:creationId xmlns:a16="http://schemas.microsoft.com/office/drawing/2014/main" xmlns="" id="{00000000-0008-0000-0900-000002000000}"/>
                </a:ext>
              </a:extLst>
            </xdr:cNvPr>
            <xdr:cNvSpPr txBox="1"/>
          </xdr:nvSpPr>
          <xdr:spPr>
            <a:xfrm>
              <a:off x="2490239" y="34536063"/>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
                  </m:oMathParaPr>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0">
                        <a:solidFill>
                          <a:schemeClr val="bg1"/>
                        </a:solidFill>
                        <a:latin typeface="Cambria Math" panose="02040503050406030204" pitchFamily="18" charset="0"/>
                        <a:ea typeface="Cambria Math" panose="02040503050406030204" pitchFamily="18" charset="0"/>
                      </a:rPr>
                      <m:t>𝐄</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𝑪𝑼𝑴𝑷𝑳𝑬</m:t>
                    </m:r>
                  </m:oMath>
                </m:oMathPara>
              </a14:m>
              <a:endParaRPr lang="es-CO" sz="1200" b="1">
                <a:solidFill>
                  <a:schemeClr val="bg1"/>
                </a:solidFill>
                <a:latin typeface="Arial" panose="020B0604020202020204" pitchFamily="34" charset="0"/>
                <a:cs typeface="Arial" panose="020B0604020202020204" pitchFamily="34" charset="0"/>
              </a:endParaRPr>
            </a:p>
          </xdr:txBody>
        </xdr:sp>
      </mc:Choice>
      <mc:Fallback xmlns="">
        <xdr:sp macro="" textlink="">
          <xdr:nvSpPr>
            <xdr:cNvPr id="2" name="CuadroTexto 14">
              <a:extLst>
                <a:ext uri="{FF2B5EF4-FFF2-40B4-BE49-F238E27FC236}">
                  <a16:creationId xmlns:a16="http://schemas.microsoft.com/office/drawing/2014/main" xmlns:a14="http://schemas.microsoft.com/office/drawing/2010/main" xmlns="" id="{00000000-0008-0000-0900-000002000000}"/>
                </a:ext>
              </a:extLst>
            </xdr:cNvPr>
            <xdr:cNvSpPr txBox="1"/>
          </xdr:nvSpPr>
          <xdr:spPr>
            <a:xfrm>
              <a:off x="2490239" y="34536063"/>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𝒅𝒆𝒄𝒊𝒔𝒊ó𝒏=|𝐄|+𝑼≤𝑬𝑴𝑷=𝑪𝑼𝑴𝑷𝑳𝑬</a:t>
              </a:r>
              <a:endParaRPr lang="es-CO" sz="1200" b="1">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3</xdr:col>
      <xdr:colOff>0</xdr:colOff>
      <xdr:row>36</xdr:row>
      <xdr:rowOff>1</xdr:rowOff>
    </xdr:from>
    <xdr:ext cx="5943599" cy="685800"/>
    <mc:AlternateContent xmlns:mc="http://schemas.openxmlformats.org/markup-compatibility/2006" xmlns:a14="http://schemas.microsoft.com/office/drawing/2010/main">
      <mc:Choice Requires="a14">
        <xdr:sp macro="" textlink="">
          <xdr:nvSpPr>
            <xdr:cNvPr id="3" name="CuadroTexto 15">
              <a:extLst>
                <a:ext uri="{FF2B5EF4-FFF2-40B4-BE49-F238E27FC236}">
                  <a16:creationId xmlns:a16="http://schemas.microsoft.com/office/drawing/2014/main" xmlns="" id="{00000000-0008-0000-0900-000003000000}"/>
                </a:ext>
              </a:extLst>
            </xdr:cNvPr>
            <xdr:cNvSpPr txBox="1"/>
          </xdr:nvSpPr>
          <xdr:spPr>
            <a:xfrm>
              <a:off x="2133600" y="15506701"/>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r>
                      <a:rPr lang="es-MX" sz="1800" b="0" i="1">
                        <a:latin typeface="Cambria Math" panose="02040503050406030204" pitchFamily="18" charset="0"/>
                      </a:rPr>
                      <m:t>=</m:t>
                    </m:r>
                    <m:d>
                      <m:dPr>
                        <m:ctrlPr>
                          <a:rPr lang="es-MX" sz="1800" b="0" i="1">
                            <a:latin typeface="Cambria Math" panose="02040503050406030204" pitchFamily="18" charset="0"/>
                          </a:rPr>
                        </m:ctrlPr>
                      </m:dPr>
                      <m:e>
                        <m:sSub>
                          <m:sSubPr>
                            <m:ctrlPr>
                              <a:rPr lang="es-MX" sz="1800" b="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r>
                          <a:rPr lang="es-MX" sz="1800" b="0" i="1">
                            <a:latin typeface="Cambria Math" panose="02040503050406030204" pitchFamily="18" charset="0"/>
                          </a:rPr>
                          <m:t>−</m:t>
                        </m:r>
                        <m:sSub>
                          <m:sSubPr>
                            <m:ctrlPr>
                              <a:rPr lang="es-MX" sz="1800" b="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e>
                    </m:d>
                    <m:r>
                      <a:rPr lang="es-MX" sz="1800" b="0" i="1">
                        <a:latin typeface="Cambria Math" panose="02040503050406030204" pitchFamily="18" charset="0"/>
                      </a:rPr>
                      <m:t>∗</m:t>
                    </m:r>
                    <m:f>
                      <m:fPr>
                        <m:ctrlPr>
                          <a:rPr lang="es-MX" sz="1800" b="0" i="1">
                            <a:latin typeface="Cambria Math" panose="02040503050406030204" pitchFamily="18" charset="0"/>
                          </a:rPr>
                        </m:ctrlPr>
                      </m:fPr>
                      <m:num>
                        <m:r>
                          <a:rPr lang="es-MX" sz="1800" b="0" i="1">
                            <a:latin typeface="Cambria Math" panose="02040503050406030204" pitchFamily="18" charset="0"/>
                          </a:rPr>
                          <m:t>1</m:t>
                        </m:r>
                      </m:num>
                      <m:den>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r>
                          <a:rPr lang="es-MX" sz="1800" b="0" i="1">
                            <a:latin typeface="Cambria Math" panose="02040503050406030204" pitchFamily="18" charset="0"/>
                          </a:rPr>
                          <m:t>−</m:t>
                        </m:r>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den>
                    </m:f>
                    <m:r>
                      <a:rPr lang="es-MX" sz="1800" b="0" i="1">
                        <a:latin typeface="Cambria Math" panose="02040503050406030204" pitchFamily="18" charset="0"/>
                      </a:rPr>
                      <m:t>∗</m:t>
                    </m:r>
                    <m:d>
                      <m:dPr>
                        <m:ctrlPr>
                          <a:rPr lang="es-MX" sz="1800" b="0" i="1">
                            <a:latin typeface="Cambria Math" panose="02040503050406030204" pitchFamily="18" charset="0"/>
                          </a:rPr>
                        </m:ctrlPr>
                      </m:dPr>
                      <m:e>
                        <m:r>
                          <a:rPr lang="es-MX" sz="1800" b="0" i="1">
                            <a:latin typeface="Cambria Math" panose="02040503050406030204" pitchFamily="18" charset="0"/>
                          </a:rPr>
                          <m:t>1−</m:t>
                        </m:r>
                        <m:f>
                          <m:fPr>
                            <m:ctrlPr>
                              <a:rPr lang="es-MX" sz="1800" b="0" i="1">
                                <a:latin typeface="Cambria Math" panose="02040503050406030204" pitchFamily="18" charset="0"/>
                              </a:rPr>
                            </m:ctrlPr>
                          </m:fPr>
                          <m:num>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num>
                          <m:den>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den>
                        </m:f>
                      </m:e>
                    </m:d>
                    <m:r>
                      <a:rPr lang="es-MX" sz="1800" b="0" i="1">
                        <a:latin typeface="Cambria Math" panose="02040503050406030204" pitchFamily="18" charset="0"/>
                      </a:rPr>
                      <m:t>∗</m:t>
                    </m:r>
                    <m:d>
                      <m:dPr>
                        <m:begChr m:val="["/>
                        <m:endChr m:val="]"/>
                        <m:ctrlPr>
                          <a:rPr lang="es-MX" sz="1800" b="0" i="1">
                            <a:latin typeface="Cambria Math" panose="02040503050406030204" pitchFamily="18" charset="0"/>
                          </a:rPr>
                        </m:ctrlPr>
                      </m:dPr>
                      <m:e>
                        <m:r>
                          <a:rPr lang="es-MX" sz="1800" b="0" i="1">
                            <a:latin typeface="Cambria Math" panose="02040503050406030204" pitchFamily="18" charset="0"/>
                          </a:rPr>
                          <m:t>1−</m:t>
                        </m:r>
                        <m:r>
                          <a:rPr lang="es-MX" sz="1800" b="0" i="1">
                            <a:latin typeface="Cambria Math" panose="02040503050406030204" pitchFamily="18" charset="0"/>
                            <a:ea typeface="Cambria Math" panose="02040503050406030204" pitchFamily="18" charset="0"/>
                          </a:rPr>
                          <m:t>𝛾</m:t>
                        </m:r>
                        <m:d>
                          <m:dPr>
                            <m:ctrlPr>
                              <a:rPr lang="es-MX" sz="1800" b="0" i="1">
                                <a:latin typeface="Cambria Math" panose="02040503050406030204" pitchFamily="18" charset="0"/>
                                <a:ea typeface="Cambria Math" panose="02040503050406030204" pitchFamily="18" charset="0"/>
                              </a:rPr>
                            </m:ctrlPr>
                          </m:dPr>
                          <m:e>
                            <m:r>
                              <a:rPr lang="es-MX" sz="1800" b="0" i="1">
                                <a:latin typeface="Cambria Math" panose="02040503050406030204" pitchFamily="18" charset="0"/>
                                <a:ea typeface="Cambria Math" panose="02040503050406030204" pitchFamily="18" charset="0"/>
                              </a:rPr>
                              <m:t>𝑡</m:t>
                            </m:r>
                            <m:r>
                              <a:rPr lang="es-MX" sz="1800" b="0" i="1">
                                <a:latin typeface="Cambria Math" panose="02040503050406030204" pitchFamily="18" charset="0"/>
                                <a:ea typeface="Cambria Math" panose="02040503050406030204" pitchFamily="18" charset="0"/>
                              </a:rPr>
                              <m:t>−</m:t>
                            </m:r>
                            <m:sSub>
                              <m:sSubPr>
                                <m:ctrlPr>
                                  <a:rPr lang="es-MX" sz="1800" b="0" i="1">
                                    <a:latin typeface="Cambria Math" panose="02040503050406030204" pitchFamily="18" charset="0"/>
                                    <a:ea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𝑡</m:t>
                                </m:r>
                              </m:e>
                              <m:sub>
                                <m:r>
                                  <a:rPr lang="es-MX" sz="1800" b="0" i="1">
                                    <a:latin typeface="Cambria Math" panose="02040503050406030204" pitchFamily="18" charset="0"/>
                                    <a:ea typeface="Cambria Math" panose="02040503050406030204" pitchFamily="18" charset="0"/>
                                  </a:rPr>
                                  <m:t>0</m:t>
                                </m:r>
                              </m:sub>
                            </m:sSub>
                          </m:e>
                        </m:d>
                      </m:e>
                    </m:d>
                  </m:oMath>
                </m:oMathPara>
              </a14:m>
              <a:endParaRPr lang="es-CO" sz="1800"/>
            </a:p>
          </xdr:txBody>
        </xdr:sp>
      </mc:Choice>
      <mc:Fallback xmlns="">
        <xdr:sp macro="" textlink="">
          <xdr:nvSpPr>
            <xdr:cNvPr id="3" name="CuadroTexto 15">
              <a:extLst>
                <a:ext uri="{FF2B5EF4-FFF2-40B4-BE49-F238E27FC236}">
                  <a16:creationId xmlns:a16="http://schemas.microsoft.com/office/drawing/2014/main" xmlns="" xmlns:a14="http://schemas.microsoft.com/office/drawing/2010/main" id="{251B8E68-DAAD-4940-BAAF-2B223135A6C2}"/>
                </a:ext>
              </a:extLst>
            </xdr:cNvPr>
            <xdr:cNvSpPr txBox="1"/>
          </xdr:nvSpPr>
          <xdr:spPr>
            <a:xfrm>
              <a:off x="2133600" y="15506701"/>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r>
                <a:rPr lang="es-MX" sz="1800" b="0" i="0">
                  <a:latin typeface="Cambria Math" panose="02040503050406030204" pitchFamily="18" charset="0"/>
                </a:rPr>
                <a:t>𝑉</a:t>
              </a:r>
              <a:r>
                <a:rPr lang="es-CO" sz="1800" b="0" i="0">
                  <a:latin typeface="Cambria Math"/>
                </a:rPr>
                <a:t>_</a:t>
              </a:r>
              <a:r>
                <a:rPr lang="es-MX" sz="1800" b="0" i="0">
                  <a:latin typeface="Cambria Math" panose="02040503050406030204" pitchFamily="18" charset="0"/>
                </a:rPr>
                <a:t>0=</a:t>
              </a:r>
              <a:r>
                <a:rPr lang="es-MX" sz="1800" b="0" i="0">
                  <a:latin typeface="Cambria Math"/>
                </a:rPr>
                <a:t>(</a:t>
              </a:r>
              <a:r>
                <a:rPr lang="es-MX" sz="1800" b="0" i="0">
                  <a:latin typeface="Cambria Math" panose="02040503050406030204" pitchFamily="18" charset="0"/>
                </a:rPr>
                <a:t>𝐼</a:t>
              </a:r>
              <a:r>
                <a:rPr lang="es-MX" sz="1800" b="0" i="0">
                  <a:latin typeface="Cambria Math"/>
                </a:rPr>
                <a:t>_</a:t>
              </a:r>
              <a:r>
                <a:rPr lang="es-MX" sz="1800" b="0" i="0">
                  <a:latin typeface="Cambria Math" panose="02040503050406030204" pitchFamily="18" charset="0"/>
                </a:rPr>
                <a:t>𝐿−𝐼</a:t>
              </a:r>
              <a:r>
                <a:rPr lang="es-MX" sz="1800" b="0" i="0">
                  <a:latin typeface="Cambria Math"/>
                </a:rPr>
                <a:t>_</a:t>
              </a:r>
              <a:r>
                <a:rPr lang="es-MX" sz="1800" b="0" i="0">
                  <a:latin typeface="Cambria Math" panose="02040503050406030204" pitchFamily="18" charset="0"/>
                </a:rPr>
                <a:t>𝐸</a:t>
              </a:r>
              <a:r>
                <a:rPr lang="es-MX" sz="1800" b="0" i="0">
                  <a:latin typeface="Cambria Math"/>
                </a:rPr>
                <a:t> )</a:t>
              </a:r>
              <a:r>
                <a:rPr lang="es-MX" sz="1800" b="0" i="0">
                  <a:latin typeface="Cambria Math" panose="02040503050406030204" pitchFamily="18" charset="0"/>
                </a:rPr>
                <a:t>∗1</a:t>
              </a:r>
              <a:r>
                <a:rPr lang="es-MX" sz="1800" b="0" i="0">
                  <a:latin typeface="Cambria Math"/>
                </a:rPr>
                <a:t>/(</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𝑊−</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𝐴</a:t>
              </a:r>
              <a:r>
                <a:rPr lang="es-MX" sz="1800" b="0" i="0">
                  <a:latin typeface="Cambria Math"/>
                </a:rPr>
                <a:t> )</a:t>
              </a:r>
              <a:r>
                <a:rPr lang="es-MX" sz="1800" b="0" i="0">
                  <a:latin typeface="Cambria Math" panose="02040503050406030204" pitchFamily="18" charset="0"/>
                </a:rPr>
                <a:t>∗</a:t>
              </a:r>
              <a:r>
                <a:rPr lang="es-MX" sz="1800" b="0" i="0">
                  <a:latin typeface="Cambria Math"/>
                </a:rPr>
                <a:t>(</a:t>
              </a:r>
              <a:r>
                <a:rPr lang="es-MX" sz="1800" b="0" i="0">
                  <a:latin typeface="Cambria Math" panose="02040503050406030204" pitchFamily="18" charset="0"/>
                </a:rPr>
                <a:t>1−</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𝐴</a:t>
              </a:r>
              <a:r>
                <a:rPr lang="es-MX" sz="1800" b="0" i="0">
                  <a:latin typeface="Cambria Math"/>
                </a:rPr>
                <a:t>/</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𝐵</a:t>
              </a:r>
              <a:r>
                <a:rPr lang="es-MX" sz="1800" b="0" i="0">
                  <a:latin typeface="Cambria Math"/>
                </a:rPr>
                <a:t> )</a:t>
              </a:r>
              <a:r>
                <a:rPr lang="es-MX" sz="1800" b="0" i="0">
                  <a:latin typeface="Cambria Math" panose="02040503050406030204" pitchFamily="18" charset="0"/>
                </a:rPr>
                <a:t>∗</a:t>
              </a:r>
              <a:r>
                <a:rPr lang="es-MX" sz="1800" b="0" i="0">
                  <a:latin typeface="Cambria Math"/>
                </a:rPr>
                <a:t>[</a:t>
              </a:r>
              <a:r>
                <a:rPr lang="es-MX" sz="1800" b="0" i="0">
                  <a:latin typeface="Cambria Math" panose="02040503050406030204" pitchFamily="18" charset="0"/>
                </a:rPr>
                <a:t>1−</a:t>
              </a:r>
              <a:r>
                <a:rPr lang="es-MX" sz="1800" b="0" i="0">
                  <a:latin typeface="Cambria Math" panose="02040503050406030204" pitchFamily="18" charset="0"/>
                  <a:ea typeface="Cambria Math" panose="02040503050406030204" pitchFamily="18" charset="0"/>
                </a:rPr>
                <a:t>𝛾</a:t>
              </a:r>
              <a:r>
                <a:rPr lang="es-MX" sz="1800" b="0" i="0">
                  <a:latin typeface="Cambria Math"/>
                  <a:ea typeface="Cambria Math" panose="02040503050406030204" pitchFamily="18" charset="0"/>
                </a:rPr>
                <a:t>(</a:t>
              </a:r>
              <a:r>
                <a:rPr lang="es-MX" sz="1800" b="0" i="0">
                  <a:latin typeface="Cambria Math" panose="02040503050406030204" pitchFamily="18" charset="0"/>
                  <a:ea typeface="Cambria Math" panose="02040503050406030204" pitchFamily="18" charset="0"/>
                </a:rPr>
                <a:t>𝑡−𝑡</a:t>
              </a:r>
              <a:r>
                <a:rPr lang="es-MX" sz="1800" b="0" i="0">
                  <a:latin typeface="Cambria Math"/>
                  <a:ea typeface="Cambria Math" panose="02040503050406030204" pitchFamily="18" charset="0"/>
                </a:rPr>
                <a:t>_</a:t>
              </a:r>
              <a:r>
                <a:rPr lang="es-MX" sz="1800" b="0" i="0">
                  <a:latin typeface="Cambria Math" panose="02040503050406030204" pitchFamily="18" charset="0"/>
                  <a:ea typeface="Cambria Math" panose="02040503050406030204" pitchFamily="18" charset="0"/>
                </a:rPr>
                <a:t>0</a:t>
              </a:r>
              <a:r>
                <a:rPr lang="es-MX" sz="1800" b="0" i="0">
                  <a:latin typeface="Cambria Math"/>
                  <a:ea typeface="Cambria Math" panose="02040503050406030204" pitchFamily="18" charset="0"/>
                </a:rPr>
                <a:t> )]</a:t>
              </a:r>
              <a:endParaRPr lang="es-CO" sz="1800"/>
            </a:p>
          </xdr:txBody>
        </xdr:sp>
      </mc:Fallback>
    </mc:AlternateContent>
    <xdr:clientData/>
  </xdr:oneCellAnchor>
  <xdr:oneCellAnchor>
    <xdr:from>
      <xdr:col>1</xdr:col>
      <xdr:colOff>76200</xdr:colOff>
      <xdr:row>41</xdr:row>
      <xdr:rowOff>42862</xdr:rowOff>
    </xdr:from>
    <xdr:ext cx="273023" cy="281808"/>
    <mc:AlternateContent xmlns:mc="http://schemas.openxmlformats.org/markup-compatibility/2006" xmlns:a14="http://schemas.microsoft.com/office/drawing/2010/main">
      <mc:Choice Requires="a14">
        <xdr:sp macro="" textlink="">
          <xdr:nvSpPr>
            <xdr:cNvPr id="4" name="CuadroTexto 16">
              <a:extLst>
                <a:ext uri="{FF2B5EF4-FFF2-40B4-BE49-F238E27FC236}">
                  <a16:creationId xmlns:a16="http://schemas.microsoft.com/office/drawing/2014/main" xmlns="" id="{00000000-0008-0000-0900-000004000000}"/>
                </a:ext>
              </a:extLst>
            </xdr:cNvPr>
            <xdr:cNvSpPr txBox="1"/>
          </xdr:nvSpPr>
          <xdr:spPr>
            <a:xfrm>
              <a:off x="457200" y="16806862"/>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4" name="CuadroTexto 16">
              <a:extLst>
                <a:ext uri="{FF2B5EF4-FFF2-40B4-BE49-F238E27FC236}">
                  <a16:creationId xmlns:a16="http://schemas.microsoft.com/office/drawing/2014/main" xmlns="" xmlns:a14="http://schemas.microsoft.com/office/drawing/2010/main" id="{F455E07C-0C33-438F-BF82-FB7A588ECC66}"/>
                </a:ext>
              </a:extLst>
            </xdr:cNvPr>
            <xdr:cNvSpPr txBox="1"/>
          </xdr:nvSpPr>
          <xdr:spPr>
            <a:xfrm>
              <a:off x="457200" y="16806862"/>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𝑉</a:t>
              </a:r>
              <a:r>
                <a:rPr lang="es-CO" sz="1800" b="0" i="0">
                  <a:latin typeface="Cambria Math"/>
                </a:rPr>
                <a:t>_</a:t>
              </a:r>
              <a:r>
                <a:rPr lang="es-MX" sz="1800" b="0" i="0">
                  <a:latin typeface="Cambria Math" panose="02040503050406030204" pitchFamily="18" charset="0"/>
                </a:rPr>
                <a:t>0</a:t>
              </a:r>
              <a:endParaRPr lang="es-CO" sz="1800"/>
            </a:p>
          </xdr:txBody>
        </xdr:sp>
      </mc:Fallback>
    </mc:AlternateContent>
    <xdr:clientData/>
  </xdr:oneCellAnchor>
  <xdr:oneCellAnchor>
    <xdr:from>
      <xdr:col>1</xdr:col>
      <xdr:colOff>66675</xdr:colOff>
      <xdr:row>43</xdr:row>
      <xdr:rowOff>4762</xdr:rowOff>
    </xdr:from>
    <xdr:ext cx="232308" cy="281808"/>
    <mc:AlternateContent xmlns:mc="http://schemas.openxmlformats.org/markup-compatibility/2006" xmlns:a14="http://schemas.microsoft.com/office/drawing/2010/main">
      <mc:Choice Requires="a14">
        <xdr:sp macro="" textlink="">
          <xdr:nvSpPr>
            <xdr:cNvPr id="5" name="CuadroTexto 17">
              <a:extLst>
                <a:ext uri="{FF2B5EF4-FFF2-40B4-BE49-F238E27FC236}">
                  <a16:creationId xmlns:a16="http://schemas.microsoft.com/office/drawing/2014/main" xmlns="" id="{00000000-0008-0000-0900-000005000000}"/>
                </a:ext>
              </a:extLst>
            </xdr:cNvPr>
            <xdr:cNvSpPr txBox="1"/>
          </xdr:nvSpPr>
          <xdr:spPr>
            <a:xfrm>
              <a:off x="447675" y="17245012"/>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oMath>
                </m:oMathPara>
              </a14:m>
              <a:endParaRPr lang="es-CO" sz="1800"/>
            </a:p>
          </xdr:txBody>
        </xdr:sp>
      </mc:Choice>
      <mc:Fallback xmlns="">
        <xdr:sp macro="" textlink="">
          <xdr:nvSpPr>
            <xdr:cNvPr id="5" name="CuadroTexto 17">
              <a:extLst>
                <a:ext uri="{FF2B5EF4-FFF2-40B4-BE49-F238E27FC236}">
                  <a16:creationId xmlns:a16="http://schemas.microsoft.com/office/drawing/2014/main" xmlns="" xmlns:a14="http://schemas.microsoft.com/office/drawing/2010/main" id="{80A1AABA-807B-464B-8671-00F30F1344C8}"/>
                </a:ext>
              </a:extLst>
            </xdr:cNvPr>
            <xdr:cNvSpPr txBox="1"/>
          </xdr:nvSpPr>
          <xdr:spPr>
            <a:xfrm>
              <a:off x="447675" y="17245012"/>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𝐼</a:t>
              </a:r>
              <a:r>
                <a:rPr lang="es-CO" sz="1800" b="0" i="0">
                  <a:latin typeface="Cambria Math"/>
                </a:rPr>
                <a:t>_</a:t>
              </a:r>
              <a:r>
                <a:rPr lang="es-MX" sz="1800" b="0" i="0">
                  <a:latin typeface="Cambria Math" panose="02040503050406030204" pitchFamily="18" charset="0"/>
                </a:rPr>
                <a:t>𝐿</a:t>
              </a:r>
              <a:endParaRPr lang="es-CO" sz="1800"/>
            </a:p>
          </xdr:txBody>
        </xdr:sp>
      </mc:Fallback>
    </mc:AlternateContent>
    <xdr:clientData/>
  </xdr:oneCellAnchor>
  <xdr:oneCellAnchor>
    <xdr:from>
      <xdr:col>1</xdr:col>
      <xdr:colOff>47625</xdr:colOff>
      <xdr:row>45</xdr:row>
      <xdr:rowOff>85725</xdr:rowOff>
    </xdr:from>
    <xdr:ext cx="249940" cy="281808"/>
    <mc:AlternateContent xmlns:mc="http://schemas.openxmlformats.org/markup-compatibility/2006" xmlns:a14="http://schemas.microsoft.com/office/drawing/2010/main">
      <mc:Choice Requires="a14">
        <xdr:sp macro="" textlink="">
          <xdr:nvSpPr>
            <xdr:cNvPr id="6" name="CuadroTexto 18">
              <a:extLst>
                <a:ext uri="{FF2B5EF4-FFF2-40B4-BE49-F238E27FC236}">
                  <a16:creationId xmlns:a16="http://schemas.microsoft.com/office/drawing/2014/main" xmlns="" id="{00000000-0008-0000-0900-000006000000}"/>
                </a:ext>
              </a:extLst>
            </xdr:cNvPr>
            <xdr:cNvSpPr txBox="1"/>
          </xdr:nvSpPr>
          <xdr:spPr>
            <a:xfrm>
              <a:off x="428625" y="17726025"/>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oMath>
                </m:oMathPara>
              </a14:m>
              <a:endParaRPr lang="es-CO" sz="1800"/>
            </a:p>
          </xdr:txBody>
        </xdr:sp>
      </mc:Choice>
      <mc:Fallback xmlns="">
        <xdr:sp macro="" textlink="">
          <xdr:nvSpPr>
            <xdr:cNvPr id="6" name="CuadroTexto 18">
              <a:extLst>
                <a:ext uri="{FF2B5EF4-FFF2-40B4-BE49-F238E27FC236}">
                  <a16:creationId xmlns:a16="http://schemas.microsoft.com/office/drawing/2014/main" xmlns="" xmlns:a14="http://schemas.microsoft.com/office/drawing/2010/main" id="{7AFAA731-1A21-4798-B040-C4666CA28E6A}"/>
                </a:ext>
              </a:extLst>
            </xdr:cNvPr>
            <xdr:cNvSpPr txBox="1"/>
          </xdr:nvSpPr>
          <xdr:spPr>
            <a:xfrm>
              <a:off x="428625" y="17726025"/>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𝐼</a:t>
              </a:r>
              <a:r>
                <a:rPr lang="es-CO" sz="1800" b="0" i="0">
                  <a:latin typeface="Cambria Math"/>
                </a:rPr>
                <a:t>_</a:t>
              </a:r>
              <a:r>
                <a:rPr lang="es-MX" sz="1800" b="0" i="0">
                  <a:latin typeface="Cambria Math" panose="02040503050406030204" pitchFamily="18" charset="0"/>
                </a:rPr>
                <a:t>𝐸</a:t>
              </a:r>
              <a:endParaRPr lang="es-CO" sz="1800"/>
            </a:p>
          </xdr:txBody>
        </xdr:sp>
      </mc:Fallback>
    </mc:AlternateContent>
    <xdr:clientData/>
  </xdr:oneCellAnchor>
  <xdr:oneCellAnchor>
    <xdr:from>
      <xdr:col>1</xdr:col>
      <xdr:colOff>47625</xdr:colOff>
      <xdr:row>47</xdr:row>
      <xdr:rowOff>114300</xdr:rowOff>
    </xdr:from>
    <xdr:ext cx="296235" cy="281808"/>
    <mc:AlternateContent xmlns:mc="http://schemas.openxmlformats.org/markup-compatibility/2006" xmlns:a14="http://schemas.microsoft.com/office/drawing/2010/main">
      <mc:Choice Requires="a14">
        <xdr:sp macro="" textlink="">
          <xdr:nvSpPr>
            <xdr:cNvPr id="7" name="CuadroTexto 19">
              <a:extLst>
                <a:ext uri="{FF2B5EF4-FFF2-40B4-BE49-F238E27FC236}">
                  <a16:creationId xmlns:a16="http://schemas.microsoft.com/office/drawing/2014/main" xmlns="" id="{00000000-0008-0000-0900-000007000000}"/>
                </a:ext>
              </a:extLst>
            </xdr:cNvPr>
            <xdr:cNvSpPr txBox="1"/>
          </xdr:nvSpPr>
          <xdr:spPr>
            <a:xfrm>
              <a:off x="428625" y="18230850"/>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oMath>
                </m:oMathPara>
              </a14:m>
              <a:endParaRPr lang="es-CO" sz="1800"/>
            </a:p>
          </xdr:txBody>
        </xdr:sp>
      </mc:Choice>
      <mc:Fallback xmlns="">
        <xdr:sp macro="" textlink="">
          <xdr:nvSpPr>
            <xdr:cNvPr id="7" name="CuadroTexto 19">
              <a:extLst>
                <a:ext uri="{FF2B5EF4-FFF2-40B4-BE49-F238E27FC236}">
                  <a16:creationId xmlns:a16="http://schemas.microsoft.com/office/drawing/2014/main" xmlns="" xmlns:a14="http://schemas.microsoft.com/office/drawing/2010/main" id="{42ABDDD2-D6C5-4AB1-AAB1-0FC18A6EE803}"/>
                </a:ext>
              </a:extLst>
            </xdr:cNvPr>
            <xdr:cNvSpPr txBox="1"/>
          </xdr:nvSpPr>
          <xdr:spPr>
            <a:xfrm>
              <a:off x="428625" y="18230850"/>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800" i="0">
                  <a:latin typeface="Cambria Math" panose="02040503050406030204" pitchFamily="18" charset="0"/>
                  <a:ea typeface="Cambria Math" panose="02040503050406030204" pitchFamily="18" charset="0"/>
                </a:rPr>
                <a:t>𝜌</a:t>
              </a:r>
              <a:r>
                <a:rPr lang="es-CO" sz="1800" i="0">
                  <a:latin typeface="Cambria Math"/>
                  <a:ea typeface="Cambria Math" panose="02040503050406030204" pitchFamily="18" charset="0"/>
                </a:rPr>
                <a:t>_</a:t>
              </a:r>
              <a:r>
                <a:rPr lang="es-MX" sz="1800" b="0" i="0">
                  <a:latin typeface="Cambria Math" panose="02040503050406030204" pitchFamily="18" charset="0"/>
                </a:rPr>
                <a:t>𝐴</a:t>
              </a:r>
              <a:endParaRPr lang="es-CO" sz="1800"/>
            </a:p>
          </xdr:txBody>
        </xdr:sp>
      </mc:Fallback>
    </mc:AlternateContent>
    <xdr:clientData/>
  </xdr:oneCellAnchor>
  <xdr:oneCellAnchor>
    <xdr:from>
      <xdr:col>0</xdr:col>
      <xdr:colOff>371475</xdr:colOff>
      <xdr:row>49</xdr:row>
      <xdr:rowOff>85725</xdr:rowOff>
    </xdr:from>
    <xdr:ext cx="353238" cy="281808"/>
    <mc:AlternateContent xmlns:mc="http://schemas.openxmlformats.org/markup-compatibility/2006" xmlns:a14="http://schemas.microsoft.com/office/drawing/2010/main">
      <mc:Choice Requires="a14">
        <xdr:sp macro="" textlink="">
          <xdr:nvSpPr>
            <xdr:cNvPr id="8" name="CuadroTexto 20">
              <a:extLst>
                <a:ext uri="{FF2B5EF4-FFF2-40B4-BE49-F238E27FC236}">
                  <a16:creationId xmlns:a16="http://schemas.microsoft.com/office/drawing/2014/main" xmlns="" id="{00000000-0008-0000-0900-000008000000}"/>
                </a:ext>
              </a:extLst>
            </xdr:cNvPr>
            <xdr:cNvSpPr txBox="1"/>
          </xdr:nvSpPr>
          <xdr:spPr>
            <a:xfrm>
              <a:off x="371475" y="18678525"/>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oMath>
                </m:oMathPara>
              </a14:m>
              <a:endParaRPr lang="es-CO" sz="1800"/>
            </a:p>
          </xdr:txBody>
        </xdr:sp>
      </mc:Choice>
      <mc:Fallback xmlns="">
        <xdr:sp macro="" textlink="">
          <xdr:nvSpPr>
            <xdr:cNvPr id="8" name="CuadroTexto 20">
              <a:extLst>
                <a:ext uri="{FF2B5EF4-FFF2-40B4-BE49-F238E27FC236}">
                  <a16:creationId xmlns:a16="http://schemas.microsoft.com/office/drawing/2014/main" xmlns="" xmlns:a14="http://schemas.microsoft.com/office/drawing/2010/main" id="{3BA1F432-5FB9-42D9-BB9C-DFB41F4A5047}"/>
                </a:ext>
              </a:extLst>
            </xdr:cNvPr>
            <xdr:cNvSpPr txBox="1"/>
          </xdr:nvSpPr>
          <xdr:spPr>
            <a:xfrm>
              <a:off x="371475" y="18678525"/>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800" i="0">
                  <a:latin typeface="Cambria Math" panose="02040503050406030204" pitchFamily="18" charset="0"/>
                  <a:ea typeface="Cambria Math" panose="02040503050406030204" pitchFamily="18" charset="0"/>
                </a:rPr>
                <a:t>𝜌</a:t>
              </a:r>
              <a:r>
                <a:rPr lang="es-CO" sz="1800" i="0">
                  <a:latin typeface="Cambria Math"/>
                  <a:ea typeface="Cambria Math" panose="02040503050406030204" pitchFamily="18" charset="0"/>
                </a:rPr>
                <a:t>_</a:t>
              </a:r>
              <a:r>
                <a:rPr lang="es-MX" sz="1800" b="0" i="0">
                  <a:latin typeface="Cambria Math" panose="02040503050406030204" pitchFamily="18" charset="0"/>
                </a:rPr>
                <a:t>𝑊</a:t>
              </a:r>
              <a:endParaRPr lang="es-CO" sz="1800"/>
            </a:p>
          </xdr:txBody>
        </xdr:sp>
      </mc:Fallback>
    </mc:AlternateContent>
    <xdr:clientData/>
  </xdr:oneCellAnchor>
  <xdr:oneCellAnchor>
    <xdr:from>
      <xdr:col>0</xdr:col>
      <xdr:colOff>352425</xdr:colOff>
      <xdr:row>51</xdr:row>
      <xdr:rowOff>104775</xdr:rowOff>
    </xdr:from>
    <xdr:ext cx="303481" cy="281808"/>
    <mc:AlternateContent xmlns:mc="http://schemas.openxmlformats.org/markup-compatibility/2006" xmlns:a14="http://schemas.microsoft.com/office/drawing/2010/main">
      <mc:Choice Requires="a14">
        <xdr:sp macro="" textlink="">
          <xdr:nvSpPr>
            <xdr:cNvPr id="9" name="CuadroTexto 21">
              <a:extLst>
                <a:ext uri="{FF2B5EF4-FFF2-40B4-BE49-F238E27FC236}">
                  <a16:creationId xmlns:a16="http://schemas.microsoft.com/office/drawing/2014/main" xmlns="" id="{00000000-0008-0000-0900-000009000000}"/>
                </a:ext>
              </a:extLst>
            </xdr:cNvPr>
            <xdr:cNvSpPr txBox="1"/>
          </xdr:nvSpPr>
          <xdr:spPr>
            <a:xfrm>
              <a:off x="352425" y="19173825"/>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oMath>
                </m:oMathPara>
              </a14:m>
              <a:endParaRPr lang="es-CO" sz="1800"/>
            </a:p>
          </xdr:txBody>
        </xdr:sp>
      </mc:Choice>
      <mc:Fallback xmlns="">
        <xdr:sp macro="" textlink="">
          <xdr:nvSpPr>
            <xdr:cNvPr id="9" name="CuadroTexto 21">
              <a:extLst>
                <a:ext uri="{FF2B5EF4-FFF2-40B4-BE49-F238E27FC236}">
                  <a16:creationId xmlns:a16="http://schemas.microsoft.com/office/drawing/2014/main" xmlns="" xmlns:a14="http://schemas.microsoft.com/office/drawing/2010/main" id="{2D65444F-B0AA-4322-B871-0182F38199BB}"/>
                </a:ext>
              </a:extLst>
            </xdr:cNvPr>
            <xdr:cNvSpPr txBox="1"/>
          </xdr:nvSpPr>
          <xdr:spPr>
            <a:xfrm>
              <a:off x="352425" y="19173825"/>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800" i="0">
                  <a:latin typeface="Cambria Math" panose="02040503050406030204" pitchFamily="18" charset="0"/>
                  <a:ea typeface="Cambria Math" panose="02040503050406030204" pitchFamily="18" charset="0"/>
                </a:rPr>
                <a:t>𝜌</a:t>
              </a:r>
              <a:r>
                <a:rPr lang="es-CO" sz="1800" i="0">
                  <a:latin typeface="Cambria Math"/>
                  <a:ea typeface="Cambria Math" panose="02040503050406030204" pitchFamily="18" charset="0"/>
                </a:rPr>
                <a:t>_</a:t>
              </a:r>
              <a:r>
                <a:rPr lang="es-MX" sz="1800" b="0" i="0">
                  <a:latin typeface="Cambria Math" panose="02040503050406030204" pitchFamily="18" charset="0"/>
                </a:rPr>
                <a:t>𝐵</a:t>
              </a:r>
              <a:endParaRPr lang="es-CO" sz="1800"/>
            </a:p>
          </xdr:txBody>
        </xdr:sp>
      </mc:Fallback>
    </mc:AlternateContent>
    <xdr:clientData/>
  </xdr:oneCellAnchor>
  <xdr:oneCellAnchor>
    <xdr:from>
      <xdr:col>1</xdr:col>
      <xdr:colOff>14787</xdr:colOff>
      <xdr:row>53</xdr:row>
      <xdr:rowOff>123826</xdr:rowOff>
    </xdr:from>
    <xdr:ext cx="194763" cy="281808"/>
    <mc:AlternateContent xmlns:mc="http://schemas.openxmlformats.org/markup-compatibility/2006" xmlns:a14="http://schemas.microsoft.com/office/drawing/2010/main">
      <mc:Choice Requires="a14">
        <xdr:sp macro="" textlink="">
          <xdr:nvSpPr>
            <xdr:cNvPr id="10" name="CuadroTexto 22">
              <a:extLst>
                <a:ext uri="{FF2B5EF4-FFF2-40B4-BE49-F238E27FC236}">
                  <a16:creationId xmlns:a16="http://schemas.microsoft.com/office/drawing/2014/main" xmlns="" id="{00000000-0008-0000-0900-00000A000000}"/>
                </a:ext>
              </a:extLst>
            </xdr:cNvPr>
            <xdr:cNvSpPr txBox="1"/>
          </xdr:nvSpPr>
          <xdr:spPr>
            <a:xfrm flipH="1">
              <a:off x="395787" y="19669126"/>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rPr>
                      <m:t>𝑡</m:t>
                    </m:r>
                  </m:oMath>
                </m:oMathPara>
              </a14:m>
              <a:endParaRPr lang="es-CO" sz="1800"/>
            </a:p>
          </xdr:txBody>
        </xdr:sp>
      </mc:Choice>
      <mc:Fallback xmlns="">
        <xdr:sp macro="" textlink="">
          <xdr:nvSpPr>
            <xdr:cNvPr id="10" name="CuadroTexto 22">
              <a:extLst>
                <a:ext uri="{FF2B5EF4-FFF2-40B4-BE49-F238E27FC236}">
                  <a16:creationId xmlns:a16="http://schemas.microsoft.com/office/drawing/2014/main" xmlns="" xmlns:a14="http://schemas.microsoft.com/office/drawing/2010/main" id="{2DE62469-A390-443C-9336-B4234F8044A8}"/>
                </a:ext>
              </a:extLst>
            </xdr:cNvPr>
            <xdr:cNvSpPr txBox="1"/>
          </xdr:nvSpPr>
          <xdr:spPr>
            <a:xfrm flipH="1">
              <a:off x="395787" y="19669126"/>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800" b="0" i="0">
                  <a:latin typeface="Cambria Math" panose="02040503050406030204" pitchFamily="18" charset="0"/>
                </a:rPr>
                <a:t>𝑡</a:t>
              </a:r>
              <a:endParaRPr lang="es-CO" sz="1800"/>
            </a:p>
          </xdr:txBody>
        </xdr:sp>
      </mc:Fallback>
    </mc:AlternateContent>
    <xdr:clientData/>
  </xdr:oneCellAnchor>
  <xdr:oneCellAnchor>
    <xdr:from>
      <xdr:col>1</xdr:col>
      <xdr:colOff>0</xdr:colOff>
      <xdr:row>56</xdr:row>
      <xdr:rowOff>28575</xdr:rowOff>
    </xdr:from>
    <xdr:ext cx="194763" cy="281808"/>
    <mc:AlternateContent xmlns:mc="http://schemas.openxmlformats.org/markup-compatibility/2006" xmlns:a14="http://schemas.microsoft.com/office/drawing/2010/main">
      <mc:Choice Requires="a14">
        <xdr:sp macro="" textlink="">
          <xdr:nvSpPr>
            <xdr:cNvPr id="11" name="CuadroTexto 23">
              <a:extLst>
                <a:ext uri="{FF2B5EF4-FFF2-40B4-BE49-F238E27FC236}">
                  <a16:creationId xmlns:a16="http://schemas.microsoft.com/office/drawing/2014/main" xmlns="" id="{00000000-0008-0000-0900-00000B000000}"/>
                </a:ext>
              </a:extLst>
            </xdr:cNvPr>
            <xdr:cNvSpPr txBox="1"/>
          </xdr:nvSpPr>
          <xdr:spPr>
            <a:xfrm flipH="1">
              <a:off x="381000" y="20212050"/>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ea typeface="Cambria Math" panose="02040503050406030204" pitchFamily="18" charset="0"/>
                      </a:rPr>
                      <m:t>𝛾</m:t>
                    </m:r>
                  </m:oMath>
                </m:oMathPara>
              </a14:m>
              <a:endParaRPr lang="es-CO" sz="1800"/>
            </a:p>
          </xdr:txBody>
        </xdr:sp>
      </mc:Choice>
      <mc:Fallback xmlns="">
        <xdr:sp macro="" textlink="">
          <xdr:nvSpPr>
            <xdr:cNvPr id="11" name="CuadroTexto 23">
              <a:extLst>
                <a:ext uri="{FF2B5EF4-FFF2-40B4-BE49-F238E27FC236}">
                  <a16:creationId xmlns:a16="http://schemas.microsoft.com/office/drawing/2014/main" xmlns="" xmlns:a14="http://schemas.microsoft.com/office/drawing/2010/main" id="{82363B47-8399-483D-B1B4-8C94C07CFA66}"/>
                </a:ext>
              </a:extLst>
            </xdr:cNvPr>
            <xdr:cNvSpPr txBox="1"/>
          </xdr:nvSpPr>
          <xdr:spPr>
            <a:xfrm flipH="1">
              <a:off x="381000" y="20212050"/>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800" b="0" i="0">
                  <a:latin typeface="Cambria Math" panose="02040503050406030204" pitchFamily="18" charset="0"/>
                  <a:ea typeface="Cambria Math" panose="02040503050406030204" pitchFamily="18" charset="0"/>
                </a:rPr>
                <a:t>𝛾</a:t>
              </a:r>
              <a:endParaRPr lang="es-CO" sz="1800"/>
            </a:p>
          </xdr:txBody>
        </xdr:sp>
      </mc:Fallback>
    </mc:AlternateContent>
    <xdr:clientData/>
  </xdr:oneCellAnchor>
  <xdr:oneCellAnchor>
    <xdr:from>
      <xdr:col>1</xdr:col>
      <xdr:colOff>0</xdr:colOff>
      <xdr:row>57</xdr:row>
      <xdr:rowOff>123825</xdr:rowOff>
    </xdr:from>
    <xdr:ext cx="246927" cy="281808"/>
    <mc:AlternateContent xmlns:mc="http://schemas.openxmlformats.org/markup-compatibility/2006" xmlns:a14="http://schemas.microsoft.com/office/drawing/2010/main">
      <mc:Choice Requires="a14">
        <xdr:sp macro="" textlink="">
          <xdr:nvSpPr>
            <xdr:cNvPr id="12" name="CuadroTexto 24">
              <a:extLst>
                <a:ext uri="{FF2B5EF4-FFF2-40B4-BE49-F238E27FC236}">
                  <a16:creationId xmlns:a16="http://schemas.microsoft.com/office/drawing/2014/main" xmlns="" id="{00000000-0008-0000-0900-00000C000000}"/>
                </a:ext>
              </a:extLst>
            </xdr:cNvPr>
            <xdr:cNvSpPr txBox="1"/>
          </xdr:nvSpPr>
          <xdr:spPr>
            <a:xfrm>
              <a:off x="381000" y="20621625"/>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𝑡</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12" name="CuadroTexto 24">
              <a:extLst>
                <a:ext uri="{FF2B5EF4-FFF2-40B4-BE49-F238E27FC236}">
                  <a16:creationId xmlns:a16="http://schemas.microsoft.com/office/drawing/2014/main" xmlns="" xmlns:a14="http://schemas.microsoft.com/office/drawing/2010/main" id="{967DF4B1-7404-4089-B8CB-140C3812E4B4}"/>
                </a:ext>
              </a:extLst>
            </xdr:cNvPr>
            <xdr:cNvSpPr txBox="1"/>
          </xdr:nvSpPr>
          <xdr:spPr>
            <a:xfrm>
              <a:off x="381000" y="20621625"/>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𝑡</a:t>
              </a:r>
              <a:r>
                <a:rPr lang="es-CO" sz="1800" b="0" i="0">
                  <a:latin typeface="Cambria Math"/>
                </a:rPr>
                <a:t>_</a:t>
              </a:r>
              <a:r>
                <a:rPr lang="es-MX" sz="1800" b="0" i="0">
                  <a:latin typeface="Cambria Math" panose="02040503050406030204" pitchFamily="18" charset="0"/>
                </a:rPr>
                <a:t>0</a:t>
              </a:r>
              <a:endParaRPr lang="es-CO" sz="1800"/>
            </a:p>
          </xdr:txBody>
        </xdr:sp>
      </mc:Fallback>
    </mc:AlternateContent>
    <xdr:clientData/>
  </xdr:oneCellAnchor>
  <xdr:oneCellAnchor>
    <xdr:from>
      <xdr:col>3</xdr:col>
      <xdr:colOff>332477</xdr:colOff>
      <xdr:row>105</xdr:row>
      <xdr:rowOff>116816</xdr:rowOff>
    </xdr:from>
    <xdr:ext cx="4010574" cy="22320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B8FCDD84-8920-4E91-ADB3-CC6022C23F7E}"/>
                </a:ext>
              </a:extLst>
            </xdr:cNvPr>
            <xdr:cNvSpPr txBox="1"/>
          </xdr:nvSpPr>
          <xdr:spPr>
            <a:xfrm>
              <a:off x="2462123" y="39546722"/>
              <a:ext cx="4010574" cy="2232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
                  </m:oMathParaPr>
                  <m:oMath xmlns:m="http://schemas.openxmlformats.org/officeDocument/2006/math">
                    <m:r>
                      <a:rPr lang="es-CO" sz="1200" b="1" i="1">
                        <a:solidFill>
                          <a:sysClr val="windowText" lastClr="000000"/>
                        </a:solidFill>
                        <a:latin typeface="Cambria Math" panose="02040503050406030204" pitchFamily="18" charset="0"/>
                        <a:ea typeface="Cambria Math" panose="02040503050406030204" pitchFamily="18" charset="0"/>
                      </a:rPr>
                      <m:t>𝑹𝒆𝒈𝒍𝒂</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𝒅𝒆𝒄𝒊𝒔𝒊</m:t>
                    </m:r>
                    <m:r>
                      <a:rPr lang="es-CO" sz="1200" b="1" i="1">
                        <a:solidFill>
                          <a:sysClr val="windowText" lastClr="000000"/>
                        </a:solidFill>
                        <a:latin typeface="Cambria Math" panose="02040503050406030204" pitchFamily="18" charset="0"/>
                        <a:ea typeface="Cambria Math" panose="02040503050406030204" pitchFamily="18" charset="0"/>
                      </a:rPr>
                      <m:t>ó</m:t>
                    </m:r>
                    <m:r>
                      <a:rPr lang="es-CO" sz="1200" b="1" i="1">
                        <a:solidFill>
                          <a:sysClr val="windowText" lastClr="000000"/>
                        </a:solidFill>
                        <a:latin typeface="Cambria Math" panose="02040503050406030204" pitchFamily="18" charset="0"/>
                        <a:ea typeface="Cambria Math" panose="02040503050406030204" pitchFamily="18" charset="0"/>
                      </a:rPr>
                      <m:t>𝒏</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0">
                        <a:solidFill>
                          <a:sysClr val="windowText" lastClr="000000"/>
                        </a:solidFill>
                        <a:latin typeface="Cambria Math" panose="02040503050406030204" pitchFamily="18" charset="0"/>
                        <a:ea typeface="Cambria Math" panose="02040503050406030204" pitchFamily="18" charset="0"/>
                      </a:rPr>
                      <m:t>𝐄</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𝑼</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𝑬𝑴𝑷</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𝑪𝑼𝑴𝑷𝑳𝑬</m:t>
                    </m:r>
                  </m:oMath>
                </m:oMathPara>
              </a14:m>
              <a:endParaRPr lang="es-CO" sz="1200" b="1">
                <a:solidFill>
                  <a:sysClr val="windowText" lastClr="000000"/>
                </a:solidFill>
                <a:latin typeface="Arial" panose="020B0604020202020204" pitchFamily="34" charset="0"/>
                <a:cs typeface="Arial" panose="020B0604020202020204" pitchFamily="34" charset="0"/>
              </a:endParaRPr>
            </a:p>
          </xdr:txBody>
        </xdr:sp>
      </mc:Choice>
      <mc:Fallback xmlns="">
        <xdr:sp macro="" textlink="">
          <xdr:nvSpPr>
            <xdr:cNvPr id="13" name="CuadroTexto 12">
              <a:extLst>
                <a:ext uri="{FF2B5EF4-FFF2-40B4-BE49-F238E27FC236}">
                  <a16:creationId xmlns:a16="http://schemas.microsoft.com/office/drawing/2014/main" id="{B8FCDD84-8920-4E91-ADB3-CC6022C23F7E}"/>
                </a:ext>
              </a:extLst>
            </xdr:cNvPr>
            <xdr:cNvSpPr txBox="1"/>
          </xdr:nvSpPr>
          <xdr:spPr>
            <a:xfrm>
              <a:off x="2462123" y="39546722"/>
              <a:ext cx="4010574" cy="2232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r>
                <a:rPr lang="es-CO" sz="1200" b="1" i="0">
                  <a:solidFill>
                    <a:sysClr val="windowText" lastClr="000000"/>
                  </a:solidFill>
                  <a:latin typeface="Cambria Math" panose="02040503050406030204" pitchFamily="18" charset="0"/>
                  <a:ea typeface="Cambria Math" panose="02040503050406030204" pitchFamily="18" charset="0"/>
                </a:rPr>
                <a:t>𝑹𝒆𝒈𝒍𝒂 𝒅𝒆 𝒅𝒆𝒄𝒊𝒔𝒊ó𝒏=|𝐄|+𝑼≤𝑬𝑴𝑷=𝑪𝑼𝑴𝑷𝑳𝑬</a:t>
              </a:r>
              <a:endParaRPr lang="es-CO" sz="1200" b="1">
                <a:solidFill>
                  <a:sysClr val="windowText" lastClr="000000"/>
                </a:solidFill>
                <a:latin typeface="Arial" panose="020B0604020202020204" pitchFamily="34" charset="0"/>
                <a:cs typeface="Arial" panose="020B0604020202020204" pitchFamily="34" charset="0"/>
              </a:endParaRPr>
            </a:p>
          </xdr:txBody>
        </xdr:sp>
      </mc:Fallback>
    </mc:AlternateContent>
    <xdr:clientData/>
  </xdr:oneCellAnchor>
</xdr:wsDr>
</file>

<file path=xl/persons/person.xml><?xml version="1.0" encoding="utf-8"?>
<personList xmlns="http://schemas.microsoft.com/office/spreadsheetml/2018/threadedcomments" xmlns:x="http://schemas.openxmlformats.org/spreadsheetml/2006/main">
  <person displayName="Stivinson Cordoba Sánchez" id="{7A36F297-5517-4ECF-9835-93F43A2EE292}" userId="Stivinson Cordoba Sánchez" providerId="None"/>
  <person displayName="Stivinson Cordoba Sánchez" id="{166AD9C1-76D9-4462-91D7-E1521724D875}" userId="S::c.scordoba@sic.gov.co::50917fe7-4542-47d2-9223-845d562ffceb" providerId="AD"/>
</personList>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Q36" dT="2022-02-07T01:40:22.05" personId="{166AD9C1-76D9-4462-91D7-E1521724D875}" id="{ADE7D877-6EF7-413F-B576-F6411DF3A310}">
    <text>el termonetro no cuenta con certificado de calibracion anterion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158" dT="2022-02-15T22:27:54.60" personId="{7A36F297-5517-4ECF-9835-93F43A2EE292}" id="{E0498DF3-A3B2-414D-9386-98152C7579E7}">
    <text>7.1.1-10 EURAMET cg-18</text>
  </threadedComment>
  <threadedComment ref="A163" dT="2022-02-15T22:27:26.96" personId="{7A36F297-5517-4ECF-9835-93F43A2EE292}" id="{7300B130-0DE4-45FB-B8F3-2B4FE4D1D704}">
    <text>7.1.1-10 EURAMET cg-18</text>
  </threadedComment>
  <threadedComment ref="C180" dT="2022-02-15T22:16:16.87" personId="{7A36F297-5517-4ECF-9835-93F43A2EE292}" id="{BE5C4CC6-C1B0-4547-B304-0D884C649371}">
    <text>GMP 3
Good Measurement Practice
for
Method of Reading a Meniscus Using Water or Other Wetting Liquid</text>
  </threadedComment>
</ThreadedComments>
</file>

<file path=xl/threadedComments/threadedComment3.xml><?xml version="1.0" encoding="utf-8"?>
<ThreadedComments xmlns="http://schemas.microsoft.com/office/spreadsheetml/2018/threadedcomments" xmlns:x="http://schemas.openxmlformats.org/spreadsheetml/2006/main">
  <threadedComment ref="A158" dT="2022-02-15T22:27:54.60" personId="{7A36F297-5517-4ECF-9835-93F43A2EE292}" id="{2C26B9BD-B82C-4B0E-8444-2F4B2F6560DA}">
    <text>7.1.1-10 EURAMET cg-18</text>
  </threadedComment>
  <threadedComment ref="A163" dT="2022-02-15T22:27:26.96" personId="{7A36F297-5517-4ECF-9835-93F43A2EE292}" id="{96F3388C-1894-4A70-A6F6-08354D6A965F}">
    <text>7.1.1-10 EURAMET cg-18</text>
  </threadedComment>
  <threadedComment ref="C180" dT="2022-02-15T22:16:16.87" personId="{7A36F297-5517-4ECF-9835-93F43A2EE292}" id="{79C69561-F375-4B48-88C1-6E737E79997E}">
    <text>GMP 3
Good Measurement Practice
for
Method of Reading a Meniscus Using Water or Other Wetting Liquid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Y247"/>
  <sheetViews>
    <sheetView showGridLines="0" view="pageBreakPreview" topLeftCell="A78" zoomScale="80" zoomScaleNormal="50" zoomScaleSheetLayoutView="80" workbookViewId="0">
      <selection activeCell="B217" sqref="B217"/>
    </sheetView>
  </sheetViews>
  <sheetFormatPr baseColWidth="10" defaultColWidth="15.7109375" defaultRowHeight="35.1" customHeight="1" x14ac:dyDescent="0.2"/>
  <cols>
    <col min="1" max="1" width="23.42578125" style="51" bestFit="1" customWidth="1"/>
    <col min="2" max="3" width="15.7109375" style="51"/>
    <col min="4" max="4" width="23.7109375" style="51" bestFit="1" customWidth="1"/>
    <col min="5" max="6" width="19.140625" style="51" customWidth="1"/>
    <col min="7" max="7" width="23.140625" style="51" customWidth="1"/>
    <col min="8" max="8" width="40.5703125" style="51" bestFit="1" customWidth="1"/>
    <col min="9" max="9" width="20.42578125" style="51" customWidth="1"/>
    <col min="10" max="10" width="23.42578125" style="51" customWidth="1"/>
    <col min="11" max="11" width="19.7109375" style="51" customWidth="1"/>
    <col min="12" max="12" width="18.5703125" style="51" customWidth="1"/>
    <col min="13" max="13" width="20.140625" style="51" customWidth="1"/>
    <col min="14" max="14" width="23.42578125" style="51" bestFit="1" customWidth="1"/>
    <col min="15" max="15" width="19.85546875" style="51" customWidth="1"/>
    <col min="16" max="16" width="16.5703125" style="51" customWidth="1"/>
    <col min="17" max="17" width="17.7109375" style="51" customWidth="1"/>
    <col min="18" max="18" width="18.7109375" style="51" customWidth="1"/>
    <col min="19" max="19" width="16.5703125" style="51" customWidth="1"/>
    <col min="20" max="20" width="17.140625" style="307" customWidth="1"/>
    <col min="21" max="21" width="27" style="307" customWidth="1"/>
    <col min="22" max="22" width="15.5703125" style="307" customWidth="1"/>
    <col min="23" max="23" width="18.7109375" style="307" bestFit="1" customWidth="1"/>
    <col min="24" max="24" width="15.85546875" style="307" customWidth="1"/>
    <col min="25" max="25" width="18.28515625" style="307" customWidth="1"/>
    <col min="26" max="28" width="16" style="307" customWidth="1"/>
    <col min="29" max="33" width="16" style="51" customWidth="1"/>
    <col min="34" max="40" width="20.7109375" style="51" customWidth="1"/>
    <col min="41" max="42" width="15.7109375" style="51"/>
    <col min="43" max="43" width="15.7109375" style="432"/>
    <col min="44" max="45" width="15.7109375" style="51"/>
    <col min="46" max="56" width="16" style="51" customWidth="1"/>
    <col min="57" max="58" width="16" style="51" bestFit="1" customWidth="1"/>
    <col min="59" max="16384" width="15.7109375" style="51"/>
  </cols>
  <sheetData>
    <row r="1" spans="1:77" ht="80.099999999999994" customHeight="1" thickBot="1" x14ac:dyDescent="0.25">
      <c r="A1" s="1592"/>
      <c r="B1" s="1593"/>
      <c r="C1" s="1593"/>
      <c r="D1" s="1594"/>
      <c r="E1" s="1572" t="s">
        <v>0</v>
      </c>
      <c r="F1" s="1573"/>
      <c r="G1" s="1573"/>
      <c r="H1" s="1573"/>
      <c r="I1" s="1573"/>
      <c r="J1" s="1573"/>
      <c r="K1" s="1573"/>
      <c r="L1" s="1573"/>
      <c r="M1" s="1573"/>
      <c r="N1" s="1573"/>
      <c r="O1" s="1573"/>
      <c r="P1" s="1573"/>
      <c r="Q1" s="1573"/>
      <c r="R1" s="1573"/>
      <c r="S1" s="1573"/>
      <c r="T1" s="1573"/>
      <c r="U1" s="1573"/>
      <c r="V1" s="1574"/>
      <c r="W1" s="430"/>
      <c r="X1" s="430"/>
      <c r="Y1" s="430"/>
      <c r="Z1" s="430"/>
      <c r="AA1" s="430"/>
      <c r="AB1" s="430"/>
      <c r="AC1" s="430"/>
      <c r="AD1" s="430"/>
      <c r="AI1" s="430"/>
      <c r="AJ1" s="430"/>
      <c r="AK1" s="430"/>
      <c r="AL1" s="430"/>
      <c r="AM1" s="430"/>
      <c r="AN1" s="430"/>
      <c r="AO1" s="430"/>
      <c r="AP1" s="430"/>
      <c r="AQ1" s="431"/>
      <c r="AR1" s="430"/>
      <c r="AS1" s="430"/>
      <c r="AT1" s="430"/>
      <c r="AU1" s="430"/>
      <c r="AY1" s="430"/>
      <c r="AZ1" s="430"/>
      <c r="BA1" s="430"/>
      <c r="BB1" s="430"/>
      <c r="BC1" s="430"/>
      <c r="BD1" s="430"/>
      <c r="BE1" s="430"/>
      <c r="BF1" s="430"/>
      <c r="BG1" s="430"/>
      <c r="BH1" s="430"/>
      <c r="BI1" s="430"/>
      <c r="BJ1" s="430"/>
      <c r="BK1" s="430"/>
      <c r="BL1" s="430"/>
      <c r="BM1" s="430"/>
    </row>
    <row r="2" spans="1:77" ht="35.1" customHeight="1" x14ac:dyDescent="0.25">
      <c r="T2" s="51"/>
      <c r="U2" s="51"/>
      <c r="V2" s="51"/>
      <c r="W2" s="51"/>
      <c r="X2" s="51"/>
      <c r="Y2" s="51"/>
      <c r="Z2" s="51"/>
      <c r="AA2" s="51"/>
      <c r="AB2" s="51"/>
    </row>
    <row r="3" spans="1:77" ht="35.1" customHeight="1" x14ac:dyDescent="0.25">
      <c r="U3" s="51"/>
      <c r="V3" s="51"/>
      <c r="W3" s="51"/>
      <c r="X3" s="51"/>
      <c r="Y3" s="51"/>
      <c r="Z3" s="51"/>
      <c r="AA3" s="51"/>
      <c r="AB3" s="51"/>
      <c r="AH3" s="307"/>
      <c r="AI3" s="307"/>
      <c r="AJ3" s="307"/>
      <c r="AK3" s="307"/>
      <c r="AL3" s="307"/>
      <c r="AM3" s="307"/>
      <c r="AN3" s="307"/>
      <c r="AO3" s="307"/>
      <c r="AP3" s="307"/>
    </row>
    <row r="4" spans="1:77" ht="30" customHeight="1" thickBot="1" x14ac:dyDescent="0.3">
      <c r="U4" s="51"/>
      <c r="V4" s="51"/>
      <c r="W4" s="51"/>
      <c r="X4" s="51"/>
      <c r="Y4" s="51"/>
      <c r="Z4" s="51"/>
      <c r="AA4" s="51"/>
      <c r="AB4" s="51"/>
    </row>
    <row r="5" spans="1:77" ht="69.95" customHeight="1" thickBot="1" x14ac:dyDescent="0.25">
      <c r="D5" s="1533" t="s">
        <v>1</v>
      </c>
      <c r="E5" s="1585"/>
      <c r="F5" s="1585"/>
      <c r="G5" s="1585"/>
      <c r="H5" s="1585"/>
      <c r="I5" s="1585"/>
      <c r="J5" s="1585"/>
      <c r="K5" s="1585"/>
      <c r="L5" s="1585"/>
      <c r="M5" s="1585"/>
      <c r="N5" s="1534"/>
      <c r="U5" s="51"/>
      <c r="V5" s="51"/>
      <c r="W5" s="51"/>
      <c r="X5" s="51"/>
      <c r="Y5" s="51"/>
      <c r="Z5" s="51"/>
      <c r="AA5" s="51"/>
      <c r="AB5" s="51"/>
      <c r="AD5" s="433"/>
    </row>
    <row r="6" spans="1:77" ht="69.95" customHeight="1" thickBot="1" x14ac:dyDescent="0.3">
      <c r="D6" s="1164" t="s">
        <v>2</v>
      </c>
      <c r="E6" s="1165" t="s">
        <v>3</v>
      </c>
      <c r="F6" s="1166" t="s">
        <v>4</v>
      </c>
      <c r="G6" s="1166" t="s">
        <v>5</v>
      </c>
      <c r="H6" s="1166"/>
      <c r="I6" s="1166" t="s">
        <v>6</v>
      </c>
      <c r="J6" s="1166" t="s">
        <v>7</v>
      </c>
      <c r="K6" s="1166" t="s">
        <v>8</v>
      </c>
      <c r="L6" s="1166" t="s">
        <v>9</v>
      </c>
      <c r="M6" s="1163" t="s">
        <v>10</v>
      </c>
      <c r="N6" s="1163" t="s">
        <v>11</v>
      </c>
      <c r="BY6" s="434"/>
    </row>
    <row r="7" spans="1:77" ht="30" customHeight="1" thickBot="1" x14ac:dyDescent="0.25">
      <c r="D7" s="435"/>
      <c r="E7" s="436"/>
      <c r="F7" s="436"/>
      <c r="G7" s="436"/>
      <c r="H7" s="437"/>
      <c r="I7" s="436"/>
      <c r="J7" s="436"/>
      <c r="K7" s="436"/>
      <c r="L7" s="436"/>
      <c r="M7" s="438"/>
      <c r="N7" s="439"/>
      <c r="P7" s="1577" t="s">
        <v>12</v>
      </c>
      <c r="Q7" s="1578"/>
      <c r="R7" s="1578"/>
      <c r="S7" s="1578"/>
      <c r="T7" s="1578"/>
      <c r="U7" s="1579"/>
    </row>
    <row r="8" spans="1:77" ht="52.5" customHeight="1" thickBot="1" x14ac:dyDescent="0.25">
      <c r="D8" s="440">
        <v>1</v>
      </c>
      <c r="E8" s="358"/>
      <c r="F8" s="441"/>
      <c r="G8" s="254" t="s">
        <v>857</v>
      </c>
      <c r="H8" s="442"/>
      <c r="I8" s="441"/>
      <c r="J8" s="443"/>
      <c r="K8" s="443"/>
      <c r="L8" s="443"/>
      <c r="M8" s="444"/>
      <c r="N8" s="443"/>
      <c r="P8" s="1157" t="s">
        <v>2</v>
      </c>
      <c r="Q8" s="1577" t="s">
        <v>13</v>
      </c>
      <c r="R8" s="1578"/>
      <c r="S8" s="1578"/>
      <c r="T8" s="1578"/>
      <c r="U8" s="1579"/>
      <c r="V8" s="51"/>
      <c r="W8" s="51"/>
      <c r="X8" s="51"/>
      <c r="Y8" s="51"/>
      <c r="Z8" s="51"/>
      <c r="AA8" s="51"/>
      <c r="AB8" s="51"/>
      <c r="AQ8" s="51"/>
    </row>
    <row r="9" spans="1:77" ht="30" customHeight="1" thickBot="1" x14ac:dyDescent="0.3">
      <c r="D9" s="445"/>
      <c r="E9" s="446"/>
      <c r="F9" s="447"/>
      <c r="G9" s="446"/>
      <c r="H9" s="448"/>
      <c r="I9" s="447"/>
      <c r="J9" s="446"/>
      <c r="K9" s="446"/>
      <c r="L9" s="446"/>
      <c r="M9" s="446"/>
      <c r="N9" s="449"/>
      <c r="P9" s="450"/>
      <c r="Q9" s="1583"/>
      <c r="R9" s="1584"/>
      <c r="S9" s="1580"/>
      <c r="T9" s="1581"/>
      <c r="U9" s="1582"/>
      <c r="V9" s="51"/>
      <c r="W9" s="51"/>
      <c r="X9" s="51"/>
      <c r="Y9" s="51"/>
      <c r="Z9" s="51"/>
      <c r="AA9" s="51"/>
      <c r="AB9" s="51"/>
      <c r="AQ9" s="51"/>
    </row>
    <row r="10" spans="1:77" ht="30" customHeight="1" thickBot="1" x14ac:dyDescent="0.25">
      <c r="D10" s="451"/>
      <c r="E10" s="451"/>
      <c r="F10" s="452"/>
      <c r="G10" s="451"/>
      <c r="H10" s="452"/>
      <c r="I10" s="451"/>
      <c r="J10" s="451"/>
      <c r="K10" s="451"/>
      <c r="L10" s="451"/>
      <c r="P10" s="453" t="s">
        <v>14</v>
      </c>
      <c r="Q10" s="454" t="s">
        <v>15</v>
      </c>
      <c r="R10" s="454"/>
      <c r="S10" s="454" t="s">
        <v>16</v>
      </c>
      <c r="T10" s="455"/>
      <c r="U10" s="456" t="s">
        <v>17</v>
      </c>
      <c r="V10" s="51"/>
      <c r="W10" s="51"/>
      <c r="X10" s="51"/>
      <c r="Y10" s="51"/>
      <c r="Z10" s="51"/>
      <c r="AA10" s="51"/>
      <c r="AB10" s="51"/>
      <c r="AQ10" s="51"/>
    </row>
    <row r="11" spans="1:77" ht="30" customHeight="1" x14ac:dyDescent="0.2">
      <c r="B11" s="1586" t="s">
        <v>18</v>
      </c>
      <c r="C11" s="1587"/>
      <c r="D11" s="1587"/>
      <c r="E11" s="1587"/>
      <c r="F11" s="1587"/>
      <c r="G11" s="1587"/>
      <c r="H11" s="1587"/>
      <c r="I11" s="1587"/>
      <c r="J11" s="1587"/>
      <c r="K11" s="1587"/>
      <c r="L11" s="1587"/>
      <c r="M11" s="1587"/>
      <c r="N11" s="1588"/>
      <c r="P11" s="440" t="s">
        <v>19</v>
      </c>
      <c r="Q11" s="457" t="s">
        <v>20</v>
      </c>
      <c r="R11" s="455"/>
      <c r="S11" s="454" t="s">
        <v>21</v>
      </c>
      <c r="T11" s="455"/>
      <c r="U11" s="456" t="s">
        <v>17</v>
      </c>
      <c r="V11" s="51"/>
      <c r="W11" s="51"/>
      <c r="X11" s="51"/>
      <c r="Y11" s="51"/>
      <c r="Z11" s="51"/>
      <c r="AA11" s="51"/>
      <c r="AB11" s="51"/>
      <c r="AQ11" s="51"/>
    </row>
    <row r="12" spans="1:77" ht="30" customHeight="1" thickBot="1" x14ac:dyDescent="0.25">
      <c r="B12" s="1589"/>
      <c r="C12" s="1590"/>
      <c r="D12" s="1590"/>
      <c r="E12" s="1590"/>
      <c r="F12" s="1590"/>
      <c r="G12" s="1590"/>
      <c r="H12" s="1590"/>
      <c r="I12" s="1590"/>
      <c r="J12" s="1590"/>
      <c r="K12" s="1590"/>
      <c r="L12" s="1590"/>
      <c r="M12" s="1590"/>
      <c r="N12" s="1591"/>
      <c r="P12" s="458" t="s">
        <v>22</v>
      </c>
      <c r="Q12" s="459" t="s">
        <v>23</v>
      </c>
      <c r="R12" s="460"/>
      <c r="S12" s="461" t="s">
        <v>16</v>
      </c>
      <c r="T12" s="460"/>
      <c r="U12" s="462" t="s">
        <v>17</v>
      </c>
      <c r="V12" s="51"/>
      <c r="W12" s="51"/>
      <c r="X12" s="51"/>
      <c r="Y12" s="51"/>
      <c r="Z12" s="51"/>
      <c r="AA12" s="51"/>
      <c r="AB12" s="51"/>
      <c r="AQ12" s="51"/>
    </row>
    <row r="13" spans="1:77" ht="97.5" customHeight="1" thickBot="1" x14ac:dyDescent="0.25">
      <c r="B13" s="1161" t="s">
        <v>2</v>
      </c>
      <c r="C13" s="1162" t="s">
        <v>24</v>
      </c>
      <c r="D13" s="1162" t="s">
        <v>25</v>
      </c>
      <c r="E13" s="1162" t="s">
        <v>26</v>
      </c>
      <c r="F13" s="1162" t="s">
        <v>27</v>
      </c>
      <c r="G13" s="1162" t="s">
        <v>28</v>
      </c>
      <c r="H13" s="1162" t="s">
        <v>29</v>
      </c>
      <c r="I13" s="1162" t="s">
        <v>30</v>
      </c>
      <c r="J13" s="1162" t="s">
        <v>31</v>
      </c>
      <c r="K13" s="1162" t="s">
        <v>32</v>
      </c>
      <c r="L13" s="1162" t="s">
        <v>33</v>
      </c>
      <c r="M13" s="1162" t="s">
        <v>34</v>
      </c>
      <c r="N13" s="1163" t="s">
        <v>11</v>
      </c>
      <c r="O13" s="307"/>
      <c r="P13" s="307"/>
      <c r="Q13" s="307"/>
      <c r="R13" s="307"/>
      <c r="S13" s="307"/>
      <c r="W13" s="51"/>
      <c r="X13" s="51"/>
      <c r="Y13" s="51"/>
    </row>
    <row r="14" spans="1:77" ht="30" customHeight="1" thickBot="1" x14ac:dyDescent="0.25">
      <c r="B14" s="435"/>
      <c r="C14" s="463"/>
      <c r="D14" s="463"/>
      <c r="E14" s="463"/>
      <c r="F14" s="463" t="s">
        <v>35</v>
      </c>
      <c r="G14" s="464"/>
      <c r="H14" s="465"/>
      <c r="I14" s="463"/>
      <c r="J14" s="466"/>
      <c r="K14" s="463"/>
      <c r="L14" s="463"/>
      <c r="M14" s="463"/>
      <c r="N14" s="467"/>
      <c r="O14" s="307"/>
      <c r="P14" s="307"/>
      <c r="Q14" s="307"/>
      <c r="R14" s="307"/>
      <c r="S14" s="433"/>
      <c r="T14" s="1576"/>
      <c r="U14" s="1576"/>
      <c r="V14" s="1576"/>
      <c r="W14" s="51"/>
      <c r="X14" s="51"/>
      <c r="Y14" s="51"/>
    </row>
    <row r="15" spans="1:77" ht="30" customHeight="1" thickBot="1" x14ac:dyDescent="0.3">
      <c r="B15" s="440">
        <v>1</v>
      </c>
      <c r="C15" s="443"/>
      <c r="D15" s="468"/>
      <c r="E15" s="469"/>
      <c r="F15" s="806"/>
      <c r="G15" s="806"/>
      <c r="H15" s="255" t="e">
        <f>VLOOKUP(H14,'DATOS ¬'!AC134:AF139,4,FALSE)</f>
        <v>#N/A</v>
      </c>
      <c r="I15" s="255" t="e">
        <f>H15</f>
        <v>#N/A</v>
      </c>
      <c r="J15" s="470" t="e">
        <f>VLOOKUP(J14,'DATOS ¬'!AH134:AI137,2,FALSE)</f>
        <v>#N/A</v>
      </c>
      <c r="K15" s="471" t="e">
        <f>AVERAGE(K17:K19)</f>
        <v>#DIV/0!</v>
      </c>
      <c r="L15" s="472">
        <v>5.0000000000000001E-3</v>
      </c>
      <c r="M15" s="470">
        <v>9.9000000000000001E-6</v>
      </c>
      <c r="N15" s="594">
        <f>N8</f>
        <v>0</v>
      </c>
      <c r="P15" s="307"/>
      <c r="Q15" s="307"/>
      <c r="R15" s="307"/>
      <c r="T15" s="51"/>
      <c r="Y15" s="51"/>
    </row>
    <row r="16" spans="1:77" ht="30" customHeight="1" thickBot="1" x14ac:dyDescent="0.3">
      <c r="B16" s="445"/>
      <c r="C16" s="446"/>
      <c r="D16" s="446"/>
      <c r="E16" s="446"/>
      <c r="F16" s="446"/>
      <c r="G16" s="446"/>
      <c r="H16" s="446"/>
      <c r="I16" s="446"/>
      <c r="J16" s="473"/>
      <c r="K16" s="474" t="s">
        <v>38</v>
      </c>
      <c r="L16" s="475"/>
      <c r="M16" s="446"/>
      <c r="N16" s="476"/>
      <c r="O16" s="307"/>
      <c r="P16" s="307"/>
      <c r="Q16" s="307"/>
      <c r="R16" s="307"/>
      <c r="T16" s="51"/>
      <c r="Y16" s="51"/>
    </row>
    <row r="17" spans="1:58" ht="30" customHeight="1" x14ac:dyDescent="0.25">
      <c r="D17" s="451"/>
      <c r="E17" s="451"/>
      <c r="F17" s="452"/>
      <c r="G17" s="451"/>
      <c r="H17" s="452"/>
      <c r="I17" s="451"/>
      <c r="J17" s="451"/>
      <c r="K17" s="477"/>
      <c r="L17" s="451"/>
      <c r="O17" s="307"/>
      <c r="P17" s="307"/>
      <c r="Q17" s="307"/>
      <c r="R17" s="307"/>
      <c r="T17" s="51"/>
    </row>
    <row r="18" spans="1:58" ht="30" customHeight="1" x14ac:dyDescent="0.25">
      <c r="D18" s="451"/>
      <c r="E18" s="451"/>
      <c r="F18" s="452"/>
      <c r="G18" s="451"/>
      <c r="H18" s="452"/>
      <c r="I18" s="805"/>
      <c r="J18" s="451"/>
      <c r="K18" s="478"/>
      <c r="L18" s="451"/>
      <c r="O18" s="307"/>
      <c r="P18" s="307"/>
      <c r="Q18" s="307"/>
      <c r="R18" s="307"/>
      <c r="T18" s="51"/>
    </row>
    <row r="19" spans="1:58" ht="30" customHeight="1" thickBot="1" x14ac:dyDescent="0.3">
      <c r="A19" s="451"/>
      <c r="B19" s="451"/>
      <c r="C19" s="451"/>
      <c r="D19" s="451"/>
      <c r="E19" s="451"/>
      <c r="F19" s="451"/>
      <c r="G19" s="451"/>
      <c r="H19" s="451"/>
      <c r="I19" s="451"/>
      <c r="J19" s="451"/>
      <c r="K19" s="479"/>
      <c r="L19" s="307"/>
      <c r="M19" s="307"/>
      <c r="N19" s="307"/>
      <c r="O19" s="307"/>
      <c r="P19" s="307"/>
      <c r="Q19" s="307"/>
      <c r="R19" s="307"/>
      <c r="T19" s="51"/>
    </row>
    <row r="20" spans="1:58" ht="30" customHeight="1" thickBot="1" x14ac:dyDescent="0.3">
      <c r="K20" s="432"/>
      <c r="L20" s="307"/>
      <c r="M20" s="307"/>
      <c r="N20" s="307"/>
      <c r="O20" s="307"/>
      <c r="P20" s="307"/>
      <c r="Q20" s="307"/>
      <c r="R20" s="307"/>
      <c r="T20" s="51"/>
    </row>
    <row r="21" spans="1:58" ht="30" customHeight="1" thickBot="1" x14ac:dyDescent="0.25">
      <c r="A21" s="480"/>
      <c r="B21" s="1494" t="s">
        <v>39</v>
      </c>
      <c r="C21" s="1495"/>
      <c r="D21" s="1495"/>
      <c r="E21" s="1495"/>
      <c r="F21" s="1495"/>
      <c r="G21" s="1495"/>
      <c r="H21" s="1495"/>
      <c r="I21" s="1495"/>
      <c r="J21" s="1495"/>
      <c r="K21" s="1495"/>
      <c r="L21" s="1495"/>
      <c r="M21" s="1495"/>
      <c r="N21" s="1495"/>
      <c r="O21" s="1496"/>
      <c r="P21" s="430"/>
      <c r="Q21" s="307"/>
      <c r="R21" s="307"/>
      <c r="T21" s="51"/>
    </row>
    <row r="22" spans="1:58" ht="30" customHeight="1" thickBot="1" x14ac:dyDescent="0.3">
      <c r="A22" s="480"/>
      <c r="K22" s="432"/>
      <c r="O22" s="307"/>
      <c r="P22" s="307"/>
      <c r="Q22" s="307"/>
      <c r="R22" s="307"/>
      <c r="T22" s="51"/>
    </row>
    <row r="23" spans="1:58" ht="80.25" customHeight="1" thickBot="1" x14ac:dyDescent="0.25">
      <c r="A23" s="480"/>
      <c r="B23" s="422" t="s">
        <v>40</v>
      </c>
      <c r="C23" s="185" t="s">
        <v>24</v>
      </c>
      <c r="D23" s="185" t="s">
        <v>25</v>
      </c>
      <c r="E23" s="185" t="s">
        <v>26</v>
      </c>
      <c r="F23" s="185" t="s">
        <v>41</v>
      </c>
      <c r="G23" s="185" t="s">
        <v>42</v>
      </c>
      <c r="H23" s="185" t="s">
        <v>43</v>
      </c>
      <c r="I23" s="185" t="s">
        <v>44</v>
      </c>
      <c r="J23" s="185" t="s">
        <v>45</v>
      </c>
      <c r="K23" s="493" t="s">
        <v>32</v>
      </c>
      <c r="L23" s="852" t="s">
        <v>46</v>
      </c>
      <c r="M23" s="276" t="s">
        <v>47</v>
      </c>
      <c r="R23" s="307"/>
      <c r="T23" s="51"/>
    </row>
    <row r="24" spans="1:58" ht="30" customHeight="1" thickBot="1" x14ac:dyDescent="0.25">
      <c r="A24" s="480"/>
      <c r="B24" s="481"/>
      <c r="C24" s="482"/>
      <c r="D24" s="482"/>
      <c r="E24" s="482"/>
      <c r="F24" s="482"/>
      <c r="G24" s="482"/>
      <c r="H24" s="482"/>
      <c r="I24" s="482"/>
      <c r="J24" s="482"/>
      <c r="K24" s="483"/>
      <c r="L24" s="482"/>
      <c r="M24" s="484"/>
      <c r="Q24" s="1595" t="s">
        <v>48</v>
      </c>
      <c r="R24" s="1596"/>
      <c r="S24" s="1596"/>
      <c r="T24" s="1596"/>
      <c r="U24" s="1596"/>
      <c r="V24" s="1596"/>
      <c r="W24" s="1597"/>
    </row>
    <row r="25" spans="1:58" ht="30" customHeight="1" thickBot="1" x14ac:dyDescent="0.25">
      <c r="A25" s="480"/>
      <c r="B25" s="485" t="s">
        <v>49</v>
      </c>
      <c r="C25" s="251" t="s">
        <v>50</v>
      </c>
      <c r="D25" s="251" t="s">
        <v>51</v>
      </c>
      <c r="E25" s="251" t="s">
        <v>52</v>
      </c>
      <c r="F25" s="275">
        <v>15.56</v>
      </c>
      <c r="G25" s="385">
        <v>5</v>
      </c>
      <c r="H25" s="252">
        <v>4.0967700000000002</v>
      </c>
      <c r="I25" s="252">
        <f>H25</f>
        <v>4.0967700000000002</v>
      </c>
      <c r="J25" s="251">
        <v>4.7700000000000001E-5</v>
      </c>
      <c r="K25" s="275">
        <f>(5.49+5.5+5.51)/3</f>
        <v>5.5</v>
      </c>
      <c r="L25" s="486">
        <v>5.0000000000000001E-3</v>
      </c>
      <c r="M25" s="487">
        <v>9.9000000000000001E-6</v>
      </c>
      <c r="Q25" s="1598"/>
      <c r="R25" s="1599"/>
      <c r="S25" s="1599"/>
      <c r="T25" s="1599"/>
      <c r="U25" s="1599"/>
      <c r="V25" s="1599"/>
      <c r="W25" s="1600"/>
      <c r="X25" s="51"/>
      <c r="Y25" s="451"/>
      <c r="Z25" s="451"/>
      <c r="AA25" s="451"/>
      <c r="AB25" s="451"/>
      <c r="AC25" s="451"/>
    </row>
    <row r="26" spans="1:58" ht="30" customHeight="1" thickBot="1" x14ac:dyDescent="0.25">
      <c r="A26" s="480"/>
      <c r="B26" s="488" t="s">
        <v>53</v>
      </c>
      <c r="C26" s="257" t="s">
        <v>50</v>
      </c>
      <c r="D26" s="489" t="s">
        <v>54</v>
      </c>
      <c r="E26" s="257" t="s">
        <v>55</v>
      </c>
      <c r="F26" s="490">
        <v>15.56</v>
      </c>
      <c r="G26" s="491">
        <v>5</v>
      </c>
      <c r="H26" s="258">
        <v>8.1935000000000002</v>
      </c>
      <c r="I26" s="257">
        <f>H26</f>
        <v>8.1935000000000002</v>
      </c>
      <c r="J26" s="257">
        <v>4.7700000000000001E-5</v>
      </c>
      <c r="K26" s="490">
        <f>(7.29+7.26+7.25)/3</f>
        <v>7.2666666666666666</v>
      </c>
      <c r="L26" s="204">
        <v>5.0000000000000001E-3</v>
      </c>
      <c r="M26" s="492">
        <f>M25</f>
        <v>9.9000000000000001E-6</v>
      </c>
      <c r="Q26" s="1158"/>
      <c r="R26" s="1159" t="s">
        <v>56</v>
      </c>
      <c r="S26" s="1159" t="s">
        <v>57</v>
      </c>
      <c r="T26" s="1159" t="s">
        <v>58</v>
      </c>
      <c r="U26" s="1159" t="s">
        <v>59</v>
      </c>
      <c r="V26" s="1159" t="s">
        <v>60</v>
      </c>
      <c r="W26" s="1160" t="s">
        <v>61</v>
      </c>
      <c r="X26" s="51"/>
      <c r="Y26" s="451"/>
      <c r="Z26" s="451"/>
      <c r="AA26" s="451"/>
      <c r="AB26" s="451"/>
      <c r="AC26" s="451"/>
    </row>
    <row r="27" spans="1:58" ht="38.1" customHeight="1" thickBot="1" x14ac:dyDescent="0.3">
      <c r="A27" s="480"/>
      <c r="K27" s="432"/>
      <c r="O27" s="307"/>
      <c r="P27" s="307"/>
      <c r="Q27" s="193" t="s">
        <v>62</v>
      </c>
      <c r="R27" s="256" t="e">
        <f>'Máx. y Mín. ¬'!D11</f>
        <v>#N/A</v>
      </c>
      <c r="S27" s="256" t="e">
        <f>'Máx. y Mín. ¬'!D12</f>
        <v>#N/A</v>
      </c>
      <c r="T27" s="256" t="e">
        <f>'Máx. y Mín. ¬'!E11</f>
        <v>#N/A</v>
      </c>
      <c r="U27" s="256" t="e">
        <f>'Máx. y Mín. ¬'!E12</f>
        <v>#N/A</v>
      </c>
      <c r="V27" s="256" t="e">
        <f>'Máx. y Mín. ¬'!F11</f>
        <v>#N/A</v>
      </c>
      <c r="W27" s="1064" t="e">
        <f>'Máx. y Mín. ¬'!F12</f>
        <v>#N/A</v>
      </c>
      <c r="X27" s="51"/>
      <c r="AB27" s="451"/>
      <c r="AC27" s="451"/>
    </row>
    <row r="28" spans="1:58" ht="50.45" customHeight="1" thickBot="1" x14ac:dyDescent="0.25">
      <c r="A28" s="480"/>
      <c r="B28" s="1494" t="s">
        <v>63</v>
      </c>
      <c r="C28" s="1528"/>
      <c r="D28" s="1528"/>
      <c r="E28" s="1528"/>
      <c r="F28" s="1528"/>
      <c r="G28" s="1528"/>
      <c r="H28" s="1528"/>
      <c r="I28" s="1528"/>
      <c r="J28" s="1528"/>
      <c r="K28" s="1528"/>
      <c r="L28" s="1528"/>
      <c r="M28" s="1528"/>
      <c r="N28" s="1528"/>
      <c r="O28" s="1529"/>
      <c r="Q28" s="201" t="s">
        <v>64</v>
      </c>
      <c r="R28" s="259" t="e">
        <f>'Máx. y Mín. ¬'!J11</f>
        <v>#N/A</v>
      </c>
      <c r="S28" s="259" t="e">
        <f>'Máx. y Mín. ¬'!J12</f>
        <v>#N/A</v>
      </c>
      <c r="T28" s="424" t="e">
        <f>'Máx. y Mín. ¬'!K11</f>
        <v>#N/A</v>
      </c>
      <c r="U28" s="424" t="e">
        <f>'Máx. y Mín. ¬'!K12</f>
        <v>#N/A</v>
      </c>
      <c r="V28" s="424" t="e">
        <f>'Máx. y Mín. ¬'!L11</f>
        <v>#N/A</v>
      </c>
      <c r="W28" s="1065" t="e">
        <f>'Máx. y Mín. ¬'!L12</f>
        <v>#N/A</v>
      </c>
      <c r="X28" s="51"/>
      <c r="AB28" s="451"/>
      <c r="AC28" s="451"/>
    </row>
    <row r="29" spans="1:58" ht="60" customHeight="1" thickBot="1" x14ac:dyDescent="0.25">
      <c r="A29" s="480"/>
      <c r="B29" s="1609" t="s">
        <v>65</v>
      </c>
      <c r="C29" s="422" t="s">
        <v>40</v>
      </c>
      <c r="D29" s="185" t="s">
        <v>24</v>
      </c>
      <c r="E29" s="185" t="s">
        <v>66</v>
      </c>
      <c r="F29" s="185" t="s">
        <v>67</v>
      </c>
      <c r="G29" s="185" t="s">
        <v>68</v>
      </c>
      <c r="H29" s="185" t="s">
        <v>69</v>
      </c>
      <c r="I29" s="185" t="s">
        <v>70</v>
      </c>
      <c r="J29" s="185" t="s">
        <v>71</v>
      </c>
      <c r="K29" s="493" t="s">
        <v>6</v>
      </c>
      <c r="L29" s="185" t="s">
        <v>72</v>
      </c>
      <c r="M29" s="185" t="s">
        <v>73</v>
      </c>
      <c r="N29" s="185" t="s">
        <v>74</v>
      </c>
      <c r="O29" s="494" t="s">
        <v>75</v>
      </c>
      <c r="R29" s="307"/>
      <c r="S29" s="70"/>
      <c r="T29" s="70"/>
      <c r="U29" s="70"/>
      <c r="X29" s="51"/>
      <c r="AB29" s="451"/>
      <c r="AC29" s="451"/>
    </row>
    <row r="30" spans="1:58" ht="30" customHeight="1" thickBot="1" x14ac:dyDescent="0.25">
      <c r="A30" s="480"/>
      <c r="B30" s="1550"/>
      <c r="C30" s="495"/>
      <c r="D30" s="496"/>
      <c r="E30" s="497"/>
      <c r="F30" s="497"/>
      <c r="G30" s="497"/>
      <c r="H30" s="497"/>
      <c r="I30" s="497"/>
      <c r="J30" s="497"/>
      <c r="K30" s="498"/>
      <c r="L30" s="496"/>
      <c r="M30" s="496"/>
      <c r="N30" s="496"/>
      <c r="O30" s="499"/>
      <c r="Q30" s="307"/>
      <c r="R30" s="307"/>
      <c r="S30" s="1524"/>
      <c r="T30" s="1576"/>
      <c r="U30" s="72"/>
      <c r="V30" s="1575"/>
      <c r="X30" s="51"/>
    </row>
    <row r="31" spans="1:58" ht="30" customHeight="1" x14ac:dyDescent="0.2">
      <c r="A31" s="480"/>
      <c r="B31" s="1610"/>
      <c r="C31" s="500" t="str">
        <f>B25</f>
        <v>V-005</v>
      </c>
      <c r="D31" s="251" t="str">
        <f>C25</f>
        <v>Serhapin test Measure</v>
      </c>
      <c r="E31" s="251" t="str">
        <f>E25</f>
        <v xml:space="preserve">16-5935702    C-I V-005         </v>
      </c>
      <c r="F31" s="1385">
        <v>18926.8</v>
      </c>
      <c r="G31" s="252">
        <f>H25</f>
        <v>4.0967700000000002</v>
      </c>
      <c r="H31" s="1387">
        <v>0.25500000000101863</v>
      </c>
      <c r="I31" s="1385">
        <v>2.1</v>
      </c>
      <c r="J31" s="1387">
        <v>2.12</v>
      </c>
      <c r="K31" s="1389">
        <v>44997</v>
      </c>
      <c r="L31" s="1390" t="s">
        <v>833</v>
      </c>
      <c r="M31" s="502">
        <f>F31/1000</f>
        <v>18.9268</v>
      </c>
      <c r="N31" s="1393">
        <v>18.9255</v>
      </c>
      <c r="O31" s="1395">
        <f>(M31-N31)*1000</f>
        <v>1.300000000000523</v>
      </c>
      <c r="Q31" s="307"/>
      <c r="R31" s="307"/>
      <c r="S31" s="1524"/>
      <c r="T31" s="1576"/>
      <c r="U31" s="77"/>
      <c r="V31" s="1575"/>
      <c r="BF31" s="503"/>
    </row>
    <row r="32" spans="1:58" ht="30" customHeight="1" thickBot="1" x14ac:dyDescent="0.25">
      <c r="A32" s="480"/>
      <c r="B32" s="1610"/>
      <c r="C32" s="504" t="str">
        <f>B26</f>
        <v>V-001</v>
      </c>
      <c r="D32" s="257" t="str">
        <f>C26</f>
        <v>Serhapin test Measure</v>
      </c>
      <c r="E32" s="257" t="str">
        <f>E26</f>
        <v>14-92812 C-I V-001</v>
      </c>
      <c r="F32" s="1386">
        <v>18932</v>
      </c>
      <c r="G32" s="258">
        <f>H26</f>
        <v>8.1935000000000002</v>
      </c>
      <c r="H32" s="1388">
        <v>-4.944999999999709</v>
      </c>
      <c r="I32" s="1388">
        <v>2.7</v>
      </c>
      <c r="J32" s="1386">
        <v>2.0169999999999999</v>
      </c>
      <c r="K32" s="1391">
        <v>44888</v>
      </c>
      <c r="L32" s="1392" t="s">
        <v>834</v>
      </c>
      <c r="M32" s="506">
        <f>F32/1000</f>
        <v>18.931999999999999</v>
      </c>
      <c r="N32" s="1394">
        <v>18.933039999999998</v>
      </c>
      <c r="O32" s="1396">
        <f>ABS((M32-N32)*1000)</f>
        <v>1.0399999999997078</v>
      </c>
      <c r="Q32" s="307"/>
      <c r="R32" s="307"/>
      <c r="S32" s="1576"/>
      <c r="T32" s="1576"/>
      <c r="U32" s="1576"/>
      <c r="V32" s="1576"/>
    </row>
    <row r="33" spans="1:29" ht="30" customHeight="1" x14ac:dyDescent="0.2">
      <c r="A33" s="480"/>
      <c r="B33" s="507"/>
      <c r="C33" s="307"/>
      <c r="E33" s="307"/>
      <c r="F33" s="307"/>
      <c r="G33" s="307"/>
      <c r="H33" s="508"/>
      <c r="I33" s="307"/>
      <c r="J33" s="307"/>
      <c r="K33" s="509"/>
      <c r="Q33" s="307"/>
      <c r="R33" s="307"/>
      <c r="S33" s="307"/>
      <c r="T33" s="510"/>
    </row>
    <row r="34" spans="1:29" ht="30" customHeight="1" thickBot="1" x14ac:dyDescent="0.3">
      <c r="A34" s="480"/>
      <c r="K34" s="432"/>
      <c r="Q34" s="307"/>
      <c r="R34" s="307"/>
      <c r="S34" s="307"/>
    </row>
    <row r="35" spans="1:29" ht="30" customHeight="1" thickBot="1" x14ac:dyDescent="0.25">
      <c r="A35" s="480"/>
      <c r="B35" s="1494" t="s">
        <v>76</v>
      </c>
      <c r="C35" s="1495"/>
      <c r="D35" s="1495"/>
      <c r="E35" s="1495"/>
      <c r="F35" s="1495"/>
      <c r="G35" s="1495"/>
      <c r="H35" s="1495"/>
      <c r="I35" s="1495"/>
      <c r="J35" s="1495"/>
      <c r="K35" s="1495"/>
      <c r="L35" s="1495"/>
      <c r="M35" s="1495"/>
      <c r="N35" s="1495"/>
      <c r="O35" s="1495"/>
      <c r="P35" s="1495"/>
      <c r="Q35" s="1495"/>
      <c r="R35" s="1496"/>
      <c r="X35" s="50"/>
    </row>
    <row r="36" spans="1:29" ht="60" customHeight="1" thickBot="1" x14ac:dyDescent="0.25">
      <c r="A36" s="480"/>
      <c r="C36" s="307"/>
      <c r="D36" s="511" t="s">
        <v>24</v>
      </c>
      <c r="E36" s="512" t="s">
        <v>66</v>
      </c>
      <c r="F36" s="512" t="s">
        <v>77</v>
      </c>
      <c r="G36" s="512" t="s">
        <v>68</v>
      </c>
      <c r="H36" s="512" t="s">
        <v>69</v>
      </c>
      <c r="I36" s="512" t="s">
        <v>70</v>
      </c>
      <c r="J36" s="512" t="s">
        <v>71</v>
      </c>
      <c r="K36" s="513" t="s">
        <v>6</v>
      </c>
      <c r="L36" s="512" t="s">
        <v>72</v>
      </c>
      <c r="M36" s="512" t="s">
        <v>78</v>
      </c>
      <c r="N36" s="512" t="s">
        <v>79</v>
      </c>
      <c r="O36" s="512" t="s">
        <v>80</v>
      </c>
      <c r="P36" s="512" t="s">
        <v>81</v>
      </c>
      <c r="Q36" s="512" t="s">
        <v>82</v>
      </c>
      <c r="R36" s="514" t="s">
        <v>83</v>
      </c>
      <c r="U36" s="51"/>
      <c r="X36" s="50"/>
    </row>
    <row r="37" spans="1:29" ht="45" customHeight="1" thickBot="1" x14ac:dyDescent="0.3">
      <c r="A37" s="480"/>
      <c r="D37" s="307"/>
      <c r="E37" s="307"/>
      <c r="F37" s="307"/>
      <c r="G37" s="307"/>
      <c r="H37" s="307"/>
      <c r="I37" s="307"/>
      <c r="J37" s="307"/>
      <c r="K37" s="515"/>
      <c r="X37" s="50"/>
    </row>
    <row r="38" spans="1:29" ht="45.75" customHeight="1" x14ac:dyDescent="0.2">
      <c r="A38" s="480"/>
      <c r="B38" s="1611" t="s">
        <v>84</v>
      </c>
      <c r="C38" s="781" t="s">
        <v>85</v>
      </c>
      <c r="D38" s="1601" t="s">
        <v>86</v>
      </c>
      <c r="E38" s="371" t="s">
        <v>87</v>
      </c>
      <c r="F38" s="1397">
        <v>14.003</v>
      </c>
      <c r="G38" s="252">
        <v>1E-3</v>
      </c>
      <c r="H38" s="1401">
        <v>-0.02</v>
      </c>
      <c r="I38" s="1393">
        <v>4.3999999999999997E-2</v>
      </c>
      <c r="J38" s="1404">
        <v>1.96</v>
      </c>
      <c r="K38" s="1389">
        <v>45000</v>
      </c>
      <c r="L38" s="1604" t="s">
        <v>835</v>
      </c>
      <c r="M38" s="517">
        <f>SLOPE(H38:H42,F38:F42)</f>
        <v>-1.4024671063630936E-3</v>
      </c>
      <c r="N38" s="517">
        <f>INTERCEPT(H38:H42,F38:F42)</f>
        <v>2.3181847310890791E-4</v>
      </c>
      <c r="O38" s="251">
        <v>14</v>
      </c>
      <c r="P38" s="518">
        <f>F38</f>
        <v>14.003</v>
      </c>
      <c r="Q38" s="518">
        <v>14.031000000000001</v>
      </c>
      <c r="R38" s="360">
        <f>ABS(P38-Q38)</f>
        <v>2.8000000000000469E-2</v>
      </c>
      <c r="X38" s="50"/>
    </row>
    <row r="39" spans="1:29" ht="45.75" thickBot="1" x14ac:dyDescent="0.25">
      <c r="A39" s="480"/>
      <c r="B39" s="1612"/>
      <c r="C39" s="782" t="s">
        <v>88</v>
      </c>
      <c r="D39" s="1602"/>
      <c r="E39" s="372" t="s">
        <v>87</v>
      </c>
      <c r="F39" s="1398">
        <v>16.012</v>
      </c>
      <c r="G39" s="255">
        <v>1E-3</v>
      </c>
      <c r="H39" s="1402">
        <v>-2.1999999999999999E-2</v>
      </c>
      <c r="I39" s="1403">
        <v>4.3999999999999997E-2</v>
      </c>
      <c r="J39" s="1405">
        <v>1.96</v>
      </c>
      <c r="K39" s="1407">
        <v>45000</v>
      </c>
      <c r="L39" s="1605"/>
      <c r="M39" s="520">
        <f>SLOPE(H38:H42,F38:F42)</f>
        <v>-1.4024671063630936E-3</v>
      </c>
      <c r="N39" s="520">
        <f>INTERCEPT(H38:H42,F38:F42)</f>
        <v>2.3181847310890791E-4</v>
      </c>
      <c r="O39" s="254">
        <v>16</v>
      </c>
      <c r="P39" s="369">
        <f>F39</f>
        <v>16.012</v>
      </c>
      <c r="Q39" s="369">
        <v>16.033000000000001</v>
      </c>
      <c r="R39" s="361">
        <f>ABS(P39-Q39)</f>
        <v>2.1000000000000796E-2</v>
      </c>
      <c r="X39" s="50"/>
    </row>
    <row r="40" spans="1:29" ht="45.75" thickBot="1" x14ac:dyDescent="0.25">
      <c r="A40" s="1152" t="s">
        <v>89</v>
      </c>
      <c r="B40" s="1612"/>
      <c r="C40" s="782" t="s">
        <v>90</v>
      </c>
      <c r="D40" s="1602"/>
      <c r="E40" s="372" t="s">
        <v>87</v>
      </c>
      <c r="F40" s="1398">
        <v>17.021999999999998</v>
      </c>
      <c r="G40" s="255">
        <v>1E-3</v>
      </c>
      <c r="H40" s="1402">
        <v>-2.3E-2</v>
      </c>
      <c r="I40" s="1403">
        <v>4.3999999999999997E-2</v>
      </c>
      <c r="J40" s="1405">
        <v>1.96</v>
      </c>
      <c r="K40" s="1407">
        <v>45000</v>
      </c>
      <c r="L40" s="1605"/>
      <c r="M40" s="521">
        <f>SLOPE(H38:H42,F38:F42)</f>
        <v>-1.4024671063630936E-3</v>
      </c>
      <c r="N40" s="521">
        <f>INTERCEPT(H38:H42,F38:F42)</f>
        <v>2.3181847310890791E-4</v>
      </c>
      <c r="O40" s="255">
        <v>17</v>
      </c>
      <c r="P40" s="369">
        <f>F40</f>
        <v>17.021999999999998</v>
      </c>
      <c r="Q40" s="369">
        <v>17.032</v>
      </c>
      <c r="R40" s="361">
        <f>ABS(P40-Q40)</f>
        <v>1.0000000000001563E-2</v>
      </c>
    </row>
    <row r="41" spans="1:29" ht="45" x14ac:dyDescent="0.2">
      <c r="A41" s="480"/>
      <c r="B41" s="1612"/>
      <c r="C41" s="782" t="s">
        <v>91</v>
      </c>
      <c r="D41" s="1602"/>
      <c r="E41" s="372" t="s">
        <v>92</v>
      </c>
      <c r="F41" s="1399">
        <v>18.026</v>
      </c>
      <c r="G41" s="255">
        <v>1E-3</v>
      </c>
      <c r="H41" s="1403">
        <v>-2.5000000000000001E-2</v>
      </c>
      <c r="I41" s="1403">
        <v>4.3999999999999997E-2</v>
      </c>
      <c r="J41" s="1405">
        <v>1.96</v>
      </c>
      <c r="K41" s="1407">
        <v>45000</v>
      </c>
      <c r="L41" s="1605"/>
      <c r="M41" s="520">
        <f>SLOPE(H38:H42,F38:F42)</f>
        <v>-1.4024671063630936E-3</v>
      </c>
      <c r="N41" s="520">
        <f>INTERCEPT(H38:H42,F38:F42)</f>
        <v>2.3181847310890791E-4</v>
      </c>
      <c r="O41" s="255">
        <v>18</v>
      </c>
      <c r="P41" s="369">
        <f>F41</f>
        <v>18.026</v>
      </c>
      <c r="Q41" s="358">
        <v>18.027999999999999</v>
      </c>
      <c r="R41" s="361">
        <f>ABS(P41-Q41)</f>
        <v>1.9999999999988916E-3</v>
      </c>
      <c r="X41" s="50"/>
      <c r="AB41" s="451"/>
      <c r="AC41" s="451"/>
    </row>
    <row r="42" spans="1:29" ht="45.75" thickBot="1" x14ac:dyDescent="0.25">
      <c r="A42" s="480"/>
      <c r="B42" s="1613"/>
      <c r="C42" s="783" t="s">
        <v>93</v>
      </c>
      <c r="D42" s="1603"/>
      <c r="E42" s="373" t="s">
        <v>87</v>
      </c>
      <c r="F42" s="1400">
        <v>22.04</v>
      </c>
      <c r="G42" s="258">
        <v>1E-3</v>
      </c>
      <c r="H42" s="1394">
        <v>-3.1E-2</v>
      </c>
      <c r="I42" s="1394">
        <v>4.3999999999999997E-2</v>
      </c>
      <c r="J42" s="1406">
        <v>1.96</v>
      </c>
      <c r="K42" s="1391">
        <v>45000</v>
      </c>
      <c r="L42" s="1606"/>
      <c r="M42" s="523">
        <f>SLOPE(H38:H42,F38:F42)</f>
        <v>-1.4024671063630936E-3</v>
      </c>
      <c r="N42" s="523">
        <f>INTERCEPT(H38:H42,F38:F42)</f>
        <v>2.3181847310890791E-4</v>
      </c>
      <c r="O42" s="258">
        <v>22</v>
      </c>
      <c r="P42" s="370">
        <f>F42</f>
        <v>22.04</v>
      </c>
      <c r="Q42" s="359">
        <v>22.030999999999999</v>
      </c>
      <c r="R42" s="362">
        <f>ABS(P42-Q42)</f>
        <v>9.0000000000003411E-3</v>
      </c>
      <c r="T42" s="53"/>
      <c r="U42" s="53"/>
      <c r="V42" s="53"/>
      <c r="X42" s="50"/>
      <c r="AB42" s="451"/>
      <c r="AC42" s="451"/>
    </row>
    <row r="43" spans="1:29" ht="42" customHeight="1" thickBot="1" x14ac:dyDescent="0.3">
      <c r="A43" s="480"/>
      <c r="B43" s="480"/>
      <c r="C43" s="307"/>
      <c r="E43" s="524"/>
      <c r="F43" s="104"/>
      <c r="G43" s="307"/>
      <c r="H43" s="307"/>
      <c r="I43" s="307"/>
      <c r="J43" s="307"/>
      <c r="K43" s="515"/>
      <c r="L43" s="307"/>
      <c r="M43" s="307"/>
      <c r="N43" s="307"/>
      <c r="R43" s="525"/>
      <c r="S43" s="70"/>
      <c r="T43" s="70"/>
      <c r="U43" s="70"/>
      <c r="W43" s="51"/>
      <c r="X43" s="50"/>
      <c r="AB43" s="451"/>
      <c r="AC43" s="451"/>
    </row>
    <row r="44" spans="1:29" ht="45" x14ac:dyDescent="0.2">
      <c r="A44" s="480"/>
      <c r="B44" s="1515" t="s">
        <v>84</v>
      </c>
      <c r="C44" s="784" t="s">
        <v>94</v>
      </c>
      <c r="D44" s="1601" t="s">
        <v>95</v>
      </c>
      <c r="E44" s="527" t="s">
        <v>96</v>
      </c>
      <c r="F44" s="528">
        <v>13.94</v>
      </c>
      <c r="G44" s="252">
        <v>0.01</v>
      </c>
      <c r="H44" s="357">
        <v>0.03</v>
      </c>
      <c r="I44" s="357">
        <v>0.05</v>
      </c>
      <c r="J44" s="516">
        <v>1.96</v>
      </c>
      <c r="K44" s="366">
        <v>44671</v>
      </c>
      <c r="L44" s="1631" t="s">
        <v>97</v>
      </c>
      <c r="M44" s="517">
        <f>SLOPE(H44:H48,F44:F48)</f>
        <v>-2.4283654611540013E-3</v>
      </c>
      <c r="N44" s="272">
        <f>INTERCEPT(H44:H48,F44:F48)</f>
        <v>6.017099459840039E-2</v>
      </c>
      <c r="O44" s="251">
        <v>14</v>
      </c>
      <c r="P44" s="518">
        <f>F44</f>
        <v>13.94</v>
      </c>
      <c r="Q44" s="357">
        <v>13.97</v>
      </c>
      <c r="R44" s="360">
        <f>ABS(P44-Q44)</f>
        <v>3.0000000000001137E-2</v>
      </c>
      <c r="W44" s="51"/>
      <c r="X44" s="50"/>
      <c r="AB44" s="451"/>
      <c r="AC44" s="451"/>
    </row>
    <row r="45" spans="1:29" ht="45.75" thickBot="1" x14ac:dyDescent="0.25">
      <c r="A45" s="480"/>
      <c r="B45" s="1516"/>
      <c r="C45" s="785" t="s">
        <v>98</v>
      </c>
      <c r="D45" s="1602"/>
      <c r="E45" s="530" t="s">
        <v>96</v>
      </c>
      <c r="F45" s="531">
        <v>15.94</v>
      </c>
      <c r="G45" s="255">
        <v>0.01</v>
      </c>
      <c r="H45" s="358">
        <v>0.02</v>
      </c>
      <c r="I45" s="358">
        <v>0.05</v>
      </c>
      <c r="J45" s="519">
        <v>1.96</v>
      </c>
      <c r="K45" s="367">
        <v>44671</v>
      </c>
      <c r="L45" s="1632"/>
      <c r="M45" s="520">
        <f>SLOPE(H44:H48,F44:F48)</f>
        <v>-2.4283654611540013E-3</v>
      </c>
      <c r="N45" s="265">
        <f>INTERCEPT(H44:H48,F44:F48)</f>
        <v>6.017099459840039E-2</v>
      </c>
      <c r="O45" s="254">
        <v>16</v>
      </c>
      <c r="P45" s="369">
        <f>F45</f>
        <v>15.94</v>
      </c>
      <c r="Q45" s="358">
        <v>15.97</v>
      </c>
      <c r="R45" s="361">
        <f>ABS(P45-Q45)</f>
        <v>3.0000000000001137E-2</v>
      </c>
      <c r="W45" s="51"/>
      <c r="X45" s="50"/>
      <c r="AB45" s="451"/>
      <c r="AC45" s="451"/>
    </row>
    <row r="46" spans="1:29" ht="45.75" thickBot="1" x14ac:dyDescent="0.25">
      <c r="A46" s="1156" t="s">
        <v>99</v>
      </c>
      <c r="B46" s="1516"/>
      <c r="C46" s="785" t="s">
        <v>100</v>
      </c>
      <c r="D46" s="1602"/>
      <c r="E46" s="530" t="s">
        <v>96</v>
      </c>
      <c r="F46" s="531">
        <v>16.98</v>
      </c>
      <c r="G46" s="255">
        <v>0.01</v>
      </c>
      <c r="H46" s="358">
        <v>0.02</v>
      </c>
      <c r="I46" s="358">
        <v>0.05</v>
      </c>
      <c r="J46" s="519">
        <v>1.96</v>
      </c>
      <c r="K46" s="367">
        <v>44671</v>
      </c>
      <c r="L46" s="1632"/>
      <c r="M46" s="521">
        <f>SLOPE(H44:H48,F44:F48)</f>
        <v>-2.4283654611540013E-3</v>
      </c>
      <c r="N46" s="266">
        <f>INTERCEPT(H44:H48,F44:F48)</f>
        <v>6.017099459840039E-2</v>
      </c>
      <c r="O46" s="255">
        <v>17</v>
      </c>
      <c r="P46" s="369">
        <f>F46</f>
        <v>16.98</v>
      </c>
      <c r="Q46" s="358">
        <v>16.97</v>
      </c>
      <c r="R46" s="361">
        <f>ABS(P46-Q46)</f>
        <v>1.0000000000001563E-2</v>
      </c>
      <c r="W46" s="51"/>
      <c r="AB46" s="451"/>
      <c r="AC46" s="451"/>
    </row>
    <row r="47" spans="1:29" ht="45" x14ac:dyDescent="0.2">
      <c r="A47" s="480"/>
      <c r="B47" s="1516"/>
      <c r="C47" s="785" t="s">
        <v>101</v>
      </c>
      <c r="D47" s="1602"/>
      <c r="E47" s="530" t="s">
        <v>96</v>
      </c>
      <c r="F47" s="531">
        <v>17.98</v>
      </c>
      <c r="G47" s="255">
        <v>0.01</v>
      </c>
      <c r="H47" s="358">
        <v>0.01</v>
      </c>
      <c r="I47" s="358">
        <v>0.05</v>
      </c>
      <c r="J47" s="519">
        <v>1.96</v>
      </c>
      <c r="K47" s="367">
        <v>44671</v>
      </c>
      <c r="L47" s="1632"/>
      <c r="M47" s="520">
        <f>SLOPE(H44:H48,F44:F48)</f>
        <v>-2.4283654611540013E-3</v>
      </c>
      <c r="N47" s="265">
        <f>INTERCEPT(H44:H48,F44:F48)</f>
        <v>6.017099459840039E-2</v>
      </c>
      <c r="O47" s="255">
        <v>18</v>
      </c>
      <c r="P47" s="369">
        <f>F47</f>
        <v>17.98</v>
      </c>
      <c r="Q47" s="358">
        <v>17.98</v>
      </c>
      <c r="R47" s="361">
        <f>ABS(P47-Q47)</f>
        <v>0</v>
      </c>
      <c r="W47" s="51"/>
      <c r="X47" s="50"/>
      <c r="AB47" s="451"/>
      <c r="AC47" s="451"/>
    </row>
    <row r="48" spans="1:29" ht="45.75" thickBot="1" x14ac:dyDescent="0.25">
      <c r="A48" s="480"/>
      <c r="B48" s="1517"/>
      <c r="C48" s="786" t="s">
        <v>102</v>
      </c>
      <c r="D48" s="1603"/>
      <c r="E48" s="533" t="s">
        <v>96</v>
      </c>
      <c r="F48" s="534">
        <v>21.99</v>
      </c>
      <c r="G48" s="258">
        <v>0.01</v>
      </c>
      <c r="H48" s="359">
        <v>0.01</v>
      </c>
      <c r="I48" s="359">
        <v>0.05</v>
      </c>
      <c r="J48" s="522">
        <v>1.96</v>
      </c>
      <c r="K48" s="368">
        <v>44671</v>
      </c>
      <c r="L48" s="1633"/>
      <c r="M48" s="523">
        <f>SLOPE(H44:H48,F44:F48)</f>
        <v>-2.4283654611540013E-3</v>
      </c>
      <c r="N48" s="270">
        <f>INTERCEPT(H44:H48,F44:F48)</f>
        <v>6.017099459840039E-2</v>
      </c>
      <c r="O48" s="258">
        <v>22</v>
      </c>
      <c r="P48" s="370">
        <f>F48</f>
        <v>21.99</v>
      </c>
      <c r="Q48" s="359">
        <v>21.98</v>
      </c>
      <c r="R48" s="362">
        <f>ABS(P48-Q48)</f>
        <v>9.9999999999980105E-3</v>
      </c>
      <c r="W48" s="451"/>
      <c r="X48" s="50"/>
      <c r="Y48" s="51"/>
      <c r="Z48" s="51"/>
      <c r="AB48" s="451"/>
      <c r="AC48" s="451"/>
    </row>
    <row r="49" spans="1:29" ht="41.25" customHeight="1" thickBot="1" x14ac:dyDescent="0.3">
      <c r="A49" s="480"/>
      <c r="B49" s="495"/>
      <c r="C49" s="307"/>
      <c r="E49" s="524"/>
      <c r="F49" s="104"/>
      <c r="G49" s="307"/>
      <c r="H49" s="307"/>
      <c r="I49" s="307"/>
      <c r="J49" s="307"/>
      <c r="K49" s="515"/>
      <c r="L49" s="307"/>
      <c r="M49" s="307"/>
      <c r="N49" s="307"/>
      <c r="R49" s="525"/>
      <c r="W49" s="451"/>
      <c r="X49" s="50"/>
      <c r="Y49" s="51"/>
      <c r="Z49" s="51"/>
      <c r="AB49" s="451"/>
      <c r="AC49" s="451"/>
    </row>
    <row r="50" spans="1:29" ht="45" x14ac:dyDescent="0.2">
      <c r="A50" s="480"/>
      <c r="B50" s="1543" t="s">
        <v>84</v>
      </c>
      <c r="C50" s="781" t="s">
        <v>103</v>
      </c>
      <c r="D50" s="1625" t="s">
        <v>95</v>
      </c>
      <c r="E50" s="527" t="s">
        <v>104</v>
      </c>
      <c r="F50" s="528">
        <v>13.92</v>
      </c>
      <c r="G50" s="252">
        <v>0.01</v>
      </c>
      <c r="H50" s="357">
        <v>0.04</v>
      </c>
      <c r="I50" s="357">
        <v>0.05</v>
      </c>
      <c r="J50" s="516">
        <v>1.96</v>
      </c>
      <c r="K50" s="366">
        <v>44671</v>
      </c>
      <c r="L50" s="1628" t="s">
        <v>105</v>
      </c>
      <c r="M50" s="517">
        <f>SLOPE(H50:H54,F50:F54)</f>
        <v>0</v>
      </c>
      <c r="N50" s="272">
        <f>INTERCEPT(H50:H54,F50:F54)</f>
        <v>0.04</v>
      </c>
      <c r="O50" s="251">
        <v>14</v>
      </c>
      <c r="P50" s="518">
        <f>F50</f>
        <v>13.92</v>
      </c>
      <c r="Q50" s="357">
        <v>13.94</v>
      </c>
      <c r="R50" s="360">
        <f>ABS(P50-Q50)</f>
        <v>1.9999999999999574E-2</v>
      </c>
      <c r="W50" s="451"/>
      <c r="X50" s="50"/>
      <c r="Y50" s="51"/>
      <c r="Z50" s="51"/>
      <c r="AB50" s="451"/>
      <c r="AC50" s="451"/>
    </row>
    <row r="51" spans="1:29" ht="45.75" thickBot="1" x14ac:dyDescent="0.25">
      <c r="A51" s="480"/>
      <c r="B51" s="1544"/>
      <c r="C51" s="782" t="s">
        <v>106</v>
      </c>
      <c r="D51" s="1626"/>
      <c r="E51" s="530" t="s">
        <v>104</v>
      </c>
      <c r="F51" s="531">
        <v>15.92</v>
      </c>
      <c r="G51" s="255">
        <v>0.01</v>
      </c>
      <c r="H51" s="358">
        <v>0.04</v>
      </c>
      <c r="I51" s="358">
        <v>0.05</v>
      </c>
      <c r="J51" s="519">
        <v>1.96</v>
      </c>
      <c r="K51" s="367">
        <v>44671</v>
      </c>
      <c r="L51" s="1629"/>
      <c r="M51" s="520">
        <f>SLOPE(H50:H54,F50:F54)</f>
        <v>0</v>
      </c>
      <c r="N51" s="265">
        <f>INTERCEPT(H50:H54,F50:F54)</f>
        <v>0.04</v>
      </c>
      <c r="O51" s="254">
        <v>16</v>
      </c>
      <c r="P51" s="369">
        <f>F51</f>
        <v>15.92</v>
      </c>
      <c r="Q51" s="358">
        <v>15.95</v>
      </c>
      <c r="R51" s="361">
        <f>ABS(P51-Q51)</f>
        <v>2.9999999999999361E-2</v>
      </c>
      <c r="W51" s="451"/>
      <c r="X51" s="50"/>
      <c r="Y51" s="51"/>
      <c r="Z51" s="51"/>
      <c r="AB51" s="451"/>
      <c r="AC51" s="451"/>
    </row>
    <row r="52" spans="1:29" ht="45.75" thickBot="1" x14ac:dyDescent="0.25">
      <c r="A52" s="1152" t="s">
        <v>107</v>
      </c>
      <c r="B52" s="1544"/>
      <c r="C52" s="782" t="s">
        <v>108</v>
      </c>
      <c r="D52" s="1626"/>
      <c r="E52" s="530" t="s">
        <v>104</v>
      </c>
      <c r="F52" s="531">
        <v>16.96</v>
      </c>
      <c r="G52" s="255">
        <v>0.01</v>
      </c>
      <c r="H52" s="358">
        <v>0.04</v>
      </c>
      <c r="I52" s="358">
        <v>0.05</v>
      </c>
      <c r="J52" s="519">
        <v>1.96</v>
      </c>
      <c r="K52" s="367">
        <v>44671</v>
      </c>
      <c r="L52" s="1629"/>
      <c r="M52" s="521">
        <f>SLOPE(H50:H54,F50:F54)</f>
        <v>0</v>
      </c>
      <c r="N52" s="266">
        <f>INTERCEPT(H50:H54,F50:F54)</f>
        <v>0.04</v>
      </c>
      <c r="O52" s="255">
        <v>17</v>
      </c>
      <c r="P52" s="369">
        <f>F52</f>
        <v>16.96</v>
      </c>
      <c r="Q52" s="358">
        <v>16.95</v>
      </c>
      <c r="R52" s="361">
        <f>ABS(P52-Q52)</f>
        <v>1.0000000000001563E-2</v>
      </c>
      <c r="W52" s="451"/>
      <c r="X52" s="50"/>
      <c r="Y52" s="51"/>
      <c r="Z52" s="51"/>
      <c r="AB52" s="451"/>
      <c r="AC52" s="451"/>
    </row>
    <row r="53" spans="1:29" ht="45" x14ac:dyDescent="0.2">
      <c r="A53" s="480"/>
      <c r="B53" s="1544"/>
      <c r="C53" s="782" t="s">
        <v>109</v>
      </c>
      <c r="D53" s="1626"/>
      <c r="E53" s="530" t="s">
        <v>104</v>
      </c>
      <c r="F53" s="531">
        <v>17.96</v>
      </c>
      <c r="G53" s="255">
        <v>0.01</v>
      </c>
      <c r="H53" s="358">
        <v>0.04</v>
      </c>
      <c r="I53" s="358">
        <v>0.05</v>
      </c>
      <c r="J53" s="519">
        <v>1.96</v>
      </c>
      <c r="K53" s="367">
        <v>44671</v>
      </c>
      <c r="L53" s="1629"/>
      <c r="M53" s="520">
        <f>SLOPE(H50:H54,F50:F54)</f>
        <v>0</v>
      </c>
      <c r="N53" s="265">
        <f>INTERCEPT(H50:H54,F50:F54)</f>
        <v>0.04</v>
      </c>
      <c r="O53" s="255">
        <v>18</v>
      </c>
      <c r="P53" s="369">
        <f>F53</f>
        <v>17.96</v>
      </c>
      <c r="Q53" s="358">
        <v>17.96</v>
      </c>
      <c r="R53" s="361">
        <f>ABS(P53-Q53)</f>
        <v>0</v>
      </c>
      <c r="W53" s="451"/>
      <c r="X53" s="50"/>
      <c r="Y53" s="51"/>
      <c r="Z53" s="51"/>
      <c r="AB53" s="451"/>
      <c r="AC53" s="451"/>
    </row>
    <row r="54" spans="1:29" ht="45.75" thickBot="1" x14ac:dyDescent="0.25">
      <c r="A54" s="480"/>
      <c r="B54" s="1545"/>
      <c r="C54" s="783" t="s">
        <v>110</v>
      </c>
      <c r="D54" s="1627"/>
      <c r="E54" s="533" t="s">
        <v>104</v>
      </c>
      <c r="F54" s="534">
        <v>21.96</v>
      </c>
      <c r="G54" s="258">
        <v>0.01</v>
      </c>
      <c r="H54" s="359">
        <v>0.04</v>
      </c>
      <c r="I54" s="359">
        <v>0.05</v>
      </c>
      <c r="J54" s="522">
        <v>1.96</v>
      </c>
      <c r="K54" s="368">
        <v>44671</v>
      </c>
      <c r="L54" s="1630"/>
      <c r="M54" s="523">
        <f>SLOPE(H50:H54,F50:F54)</f>
        <v>0</v>
      </c>
      <c r="N54" s="270">
        <f>INTERCEPT(H50:H54,F50:F54)</f>
        <v>0.04</v>
      </c>
      <c r="O54" s="258">
        <v>22</v>
      </c>
      <c r="P54" s="370">
        <f>F54</f>
        <v>21.96</v>
      </c>
      <c r="Q54" s="359">
        <v>21.96</v>
      </c>
      <c r="R54" s="362">
        <f>ABS(P54-Q54)</f>
        <v>0</v>
      </c>
      <c r="W54" s="451"/>
      <c r="X54" s="50"/>
      <c r="Y54" s="51"/>
      <c r="Z54" s="51"/>
      <c r="AB54" s="451"/>
      <c r="AC54" s="451"/>
    </row>
    <row r="55" spans="1:29" ht="48" customHeight="1" thickBot="1" x14ac:dyDescent="0.3">
      <c r="A55" s="480"/>
      <c r="B55" s="480"/>
      <c r="C55" s="307"/>
      <c r="E55" s="524"/>
      <c r="F55" s="104"/>
      <c r="G55" s="307"/>
      <c r="H55" s="307"/>
      <c r="I55" s="307"/>
      <c r="J55" s="307"/>
      <c r="K55" s="515"/>
      <c r="L55" s="307"/>
      <c r="M55" s="307"/>
      <c r="N55" s="307"/>
      <c r="R55" s="525"/>
      <c r="W55" s="451"/>
      <c r="X55" s="50"/>
      <c r="Y55" s="51"/>
      <c r="Z55" s="51"/>
      <c r="AB55" s="451"/>
      <c r="AC55" s="451"/>
    </row>
    <row r="56" spans="1:29" ht="45" x14ac:dyDescent="0.2">
      <c r="A56" s="480"/>
      <c r="B56" s="1543" t="s">
        <v>84</v>
      </c>
      <c r="C56" s="781" t="s">
        <v>111</v>
      </c>
      <c r="D56" s="1625" t="s">
        <v>95</v>
      </c>
      <c r="E56" s="527" t="s">
        <v>112</v>
      </c>
      <c r="F56" s="528">
        <v>13.8</v>
      </c>
      <c r="G56" s="252">
        <v>0.01</v>
      </c>
      <c r="H56" s="357">
        <v>0.16</v>
      </c>
      <c r="I56" s="357">
        <v>0.05</v>
      </c>
      <c r="J56" s="516">
        <v>1.96</v>
      </c>
      <c r="K56" s="366">
        <v>44671</v>
      </c>
      <c r="L56" s="1628" t="s">
        <v>113</v>
      </c>
      <c r="M56" s="517">
        <f>SLOPE(H56:H60,F56:F60)</f>
        <v>-9.6257188437469919E-4</v>
      </c>
      <c r="N56" s="517">
        <f>INTERCEPT(H56:H60,F56:F60)</f>
        <v>0.16858703871154482</v>
      </c>
      <c r="O56" s="251">
        <v>14</v>
      </c>
      <c r="P56" s="518">
        <f>F56</f>
        <v>13.8</v>
      </c>
      <c r="Q56" s="518">
        <v>13.82</v>
      </c>
      <c r="R56" s="360">
        <f>ABS(P56-Q56)</f>
        <v>1.9999999999999574E-2</v>
      </c>
      <c r="W56" s="451"/>
      <c r="X56" s="50"/>
      <c r="Y56" s="51"/>
      <c r="Z56" s="51"/>
      <c r="AB56" s="451"/>
      <c r="AC56" s="451"/>
    </row>
    <row r="57" spans="1:29" ht="45.75" thickBot="1" x14ac:dyDescent="0.25">
      <c r="A57" s="480"/>
      <c r="B57" s="1544"/>
      <c r="C57" s="782" t="s">
        <v>114</v>
      </c>
      <c r="D57" s="1626"/>
      <c r="E57" s="530" t="s">
        <v>112</v>
      </c>
      <c r="F57" s="531">
        <v>15.81</v>
      </c>
      <c r="G57" s="255">
        <v>0.01</v>
      </c>
      <c r="H57" s="535">
        <v>0.15</v>
      </c>
      <c r="I57" s="358">
        <v>0.05</v>
      </c>
      <c r="J57" s="519">
        <v>1.96</v>
      </c>
      <c r="K57" s="367">
        <v>44671</v>
      </c>
      <c r="L57" s="1629"/>
      <c r="M57" s="520">
        <f>SLOPE(H56:H60,F56:F60)</f>
        <v>-9.6257188437469919E-4</v>
      </c>
      <c r="N57" s="520">
        <f>INTERCEPT(H56:H60,F56:F60)</f>
        <v>0.16858703871154482</v>
      </c>
      <c r="O57" s="254">
        <v>16</v>
      </c>
      <c r="P57" s="369">
        <f>F57</f>
        <v>15.81</v>
      </c>
      <c r="Q57" s="369">
        <v>15.82</v>
      </c>
      <c r="R57" s="361">
        <f>ABS(P57-Q57)</f>
        <v>9.9999999999997868E-3</v>
      </c>
      <c r="W57" s="451"/>
      <c r="X57" s="50"/>
      <c r="Y57" s="51"/>
      <c r="Z57" s="51"/>
      <c r="AB57" s="451"/>
      <c r="AC57" s="451"/>
    </row>
    <row r="58" spans="1:29" ht="45.75" thickBot="1" x14ac:dyDescent="0.25">
      <c r="A58" s="1152" t="s">
        <v>115</v>
      </c>
      <c r="B58" s="1544"/>
      <c r="C58" s="782" t="s">
        <v>116</v>
      </c>
      <c r="D58" s="1626"/>
      <c r="E58" s="530" t="s">
        <v>112</v>
      </c>
      <c r="F58" s="531">
        <v>16.850000000000001</v>
      </c>
      <c r="G58" s="255">
        <v>0.01</v>
      </c>
      <c r="H58" s="535">
        <v>0.15</v>
      </c>
      <c r="I58" s="358">
        <v>0.05</v>
      </c>
      <c r="J58" s="519">
        <v>1.96</v>
      </c>
      <c r="K58" s="367">
        <v>44671</v>
      </c>
      <c r="L58" s="1629"/>
      <c r="M58" s="521">
        <f>SLOPE(H56:H60,F56:F60)</f>
        <v>-9.6257188437469919E-4</v>
      </c>
      <c r="N58" s="521">
        <f>INTERCEPT(H56:H60,F56:F60)</f>
        <v>0.16858703871154482</v>
      </c>
      <c r="O58" s="255">
        <v>17</v>
      </c>
      <c r="P58" s="369">
        <f>F58</f>
        <v>16.850000000000001</v>
      </c>
      <c r="Q58" s="369">
        <v>16.82</v>
      </c>
      <c r="R58" s="361">
        <f>ABS(P58-Q58)</f>
        <v>3.0000000000001137E-2</v>
      </c>
      <c r="W58" s="451"/>
      <c r="X58" s="50"/>
      <c r="Y58" s="51"/>
      <c r="Z58" s="51"/>
      <c r="AB58" s="451"/>
      <c r="AC58" s="451"/>
    </row>
    <row r="59" spans="1:29" ht="45" x14ac:dyDescent="0.2">
      <c r="A59" s="480"/>
      <c r="B59" s="1544"/>
      <c r="C59" s="782" t="s">
        <v>117</v>
      </c>
      <c r="D59" s="1626"/>
      <c r="E59" s="530" t="s">
        <v>112</v>
      </c>
      <c r="F59" s="531">
        <v>17.850000000000001</v>
      </c>
      <c r="G59" s="255">
        <v>0.01</v>
      </c>
      <c r="H59" s="358">
        <v>0.15</v>
      </c>
      <c r="I59" s="358">
        <v>0.05</v>
      </c>
      <c r="J59" s="519">
        <v>1.96</v>
      </c>
      <c r="K59" s="367">
        <v>44671</v>
      </c>
      <c r="L59" s="1629"/>
      <c r="M59" s="520">
        <f>SLOPE(H56:H60,F56:F60)</f>
        <v>-9.6257188437469919E-4</v>
      </c>
      <c r="N59" s="520">
        <f>INTERCEPT(H56:H60,F56:F60)</f>
        <v>0.16858703871154482</v>
      </c>
      <c r="O59" s="255">
        <v>18</v>
      </c>
      <c r="P59" s="369">
        <f>F59</f>
        <v>17.850000000000001</v>
      </c>
      <c r="Q59" s="358">
        <v>17.829999999999998</v>
      </c>
      <c r="R59" s="361">
        <f>ABS(P59-Q59)</f>
        <v>2.0000000000003126E-2</v>
      </c>
      <c r="W59" s="451"/>
      <c r="X59" s="50"/>
      <c r="Y59" s="51"/>
      <c r="Z59" s="51"/>
      <c r="AB59" s="451"/>
      <c r="AC59" s="451"/>
    </row>
    <row r="60" spans="1:29" ht="45.75" thickBot="1" x14ac:dyDescent="0.25">
      <c r="A60" s="480"/>
      <c r="B60" s="1545"/>
      <c r="C60" s="783" t="s">
        <v>118</v>
      </c>
      <c r="D60" s="1627"/>
      <c r="E60" s="533" t="s">
        <v>112</v>
      </c>
      <c r="F60" s="534">
        <v>21.85</v>
      </c>
      <c r="G60" s="258">
        <v>0.01</v>
      </c>
      <c r="H60" s="359">
        <v>0.15</v>
      </c>
      <c r="I60" s="359">
        <v>0.05</v>
      </c>
      <c r="J60" s="522">
        <v>1.96</v>
      </c>
      <c r="K60" s="368">
        <v>44671</v>
      </c>
      <c r="L60" s="1630"/>
      <c r="M60" s="523">
        <f>SLOPE(H56:H60,F56:F60)</f>
        <v>-9.6257188437469919E-4</v>
      </c>
      <c r="N60" s="523">
        <f>INTERCEPT(H56:H60,F56:F60)</f>
        <v>0.16858703871154482</v>
      </c>
      <c r="O60" s="258">
        <v>22</v>
      </c>
      <c r="P60" s="370">
        <f>F60</f>
        <v>21.85</v>
      </c>
      <c r="Q60" s="359">
        <v>21.83</v>
      </c>
      <c r="R60" s="362">
        <f>ABS(P60-Q60)</f>
        <v>2.0000000000003126E-2</v>
      </c>
      <c r="W60" s="451"/>
      <c r="X60" s="50"/>
      <c r="Y60" s="51"/>
      <c r="Z60" s="51"/>
      <c r="AB60" s="451"/>
      <c r="AC60" s="451"/>
    </row>
    <row r="61" spans="1:29" ht="28.5" customHeight="1" x14ac:dyDescent="0.25">
      <c r="A61" s="480"/>
      <c r="H61" s="536"/>
      <c r="Q61" s="451"/>
      <c r="R61" s="451"/>
      <c r="T61" s="53"/>
      <c r="W61" s="451"/>
      <c r="X61" s="50"/>
      <c r="Y61" s="51"/>
      <c r="Z61" s="51"/>
      <c r="AB61" s="451"/>
      <c r="AC61" s="451"/>
    </row>
    <row r="62" spans="1:29" ht="30" customHeight="1" thickBot="1" x14ac:dyDescent="0.3">
      <c r="A62" s="480"/>
      <c r="K62" s="432"/>
      <c r="Q62" s="451"/>
      <c r="R62" s="451"/>
      <c r="T62" s="51"/>
      <c r="U62" s="51"/>
      <c r="V62" s="51"/>
      <c r="W62" s="451"/>
      <c r="X62" s="50"/>
      <c r="Y62" s="51"/>
      <c r="Z62" s="51"/>
      <c r="AA62" s="451"/>
      <c r="AB62" s="451"/>
      <c r="AC62" s="451"/>
    </row>
    <row r="63" spans="1:29" ht="30" customHeight="1" x14ac:dyDescent="0.2">
      <c r="A63" s="480"/>
      <c r="C63" s="1634" t="s">
        <v>119</v>
      </c>
      <c r="D63" s="1528"/>
      <c r="E63" s="1528"/>
      <c r="F63" s="1528"/>
      <c r="G63" s="1528"/>
      <c r="H63" s="1528"/>
      <c r="I63" s="1528"/>
      <c r="J63" s="1528"/>
      <c r="K63" s="1528"/>
      <c r="L63" s="1528"/>
      <c r="M63" s="1528"/>
      <c r="N63" s="1528"/>
      <c r="O63" s="1528"/>
      <c r="P63" s="1528"/>
      <c r="Q63" s="1528"/>
      <c r="R63" s="1529"/>
      <c r="S63" s="451"/>
      <c r="T63" s="451"/>
      <c r="U63" s="451"/>
      <c r="V63" s="451"/>
      <c r="W63" s="451"/>
      <c r="X63" s="50"/>
      <c r="Y63" s="451"/>
      <c r="Z63" s="451"/>
      <c r="AA63" s="451"/>
      <c r="AB63" s="451"/>
      <c r="AC63" s="451"/>
    </row>
    <row r="64" spans="1:29" ht="30" customHeight="1" thickBot="1" x14ac:dyDescent="0.25">
      <c r="A64" s="480"/>
      <c r="C64" s="1635"/>
      <c r="D64" s="1636"/>
      <c r="E64" s="1636"/>
      <c r="F64" s="1636"/>
      <c r="G64" s="1636"/>
      <c r="H64" s="1636"/>
      <c r="I64" s="1636"/>
      <c r="J64" s="1636"/>
      <c r="K64" s="1636"/>
      <c r="L64" s="1636"/>
      <c r="M64" s="1636"/>
      <c r="N64" s="1636"/>
      <c r="O64" s="1636"/>
      <c r="P64" s="1636"/>
      <c r="Q64" s="1636"/>
      <c r="R64" s="1637"/>
      <c r="S64" s="451"/>
      <c r="T64" s="451"/>
      <c r="U64" s="451"/>
      <c r="V64" s="451"/>
      <c r="W64" s="451"/>
      <c r="X64" s="451"/>
      <c r="Y64" s="451"/>
      <c r="Z64" s="451"/>
      <c r="AA64" s="451"/>
      <c r="AB64" s="451"/>
      <c r="AC64" s="451"/>
    </row>
    <row r="65" spans="1:29" ht="30" customHeight="1" thickBot="1" x14ac:dyDescent="0.25">
      <c r="A65" s="480"/>
      <c r="C65" s="1494" t="s">
        <v>120</v>
      </c>
      <c r="D65" s="1495"/>
      <c r="E65" s="1495"/>
      <c r="F65" s="1495"/>
      <c r="G65" s="1495"/>
      <c r="H65" s="1495"/>
      <c r="I65" s="1495"/>
      <c r="J65" s="1495"/>
      <c r="K65" s="1495"/>
      <c r="L65" s="1495"/>
      <c r="M65" s="1495"/>
      <c r="N65" s="1495"/>
      <c r="O65" s="1495"/>
      <c r="P65" s="1495"/>
      <c r="Q65" s="1495"/>
      <c r="R65" s="1496"/>
      <c r="S65" s="451"/>
      <c r="T65" s="451"/>
      <c r="U65" s="451"/>
      <c r="V65" s="451"/>
      <c r="W65" s="451"/>
      <c r="X65" s="50"/>
      <c r="Y65" s="451"/>
      <c r="Z65" s="451"/>
      <c r="AA65" s="451"/>
      <c r="AB65" s="451"/>
      <c r="AC65" s="451"/>
    </row>
    <row r="66" spans="1:29" ht="54" customHeight="1" thickBot="1" x14ac:dyDescent="0.25">
      <c r="A66" s="480"/>
      <c r="C66" s="307"/>
      <c r="D66" s="422" t="s">
        <v>24</v>
      </c>
      <c r="E66" s="422" t="s">
        <v>66</v>
      </c>
      <c r="F66" s="185" t="s">
        <v>77</v>
      </c>
      <c r="G66" s="185" t="s">
        <v>68</v>
      </c>
      <c r="H66" s="185" t="s">
        <v>69</v>
      </c>
      <c r="I66" s="185" t="s">
        <v>70</v>
      </c>
      <c r="J66" s="185" t="s">
        <v>71</v>
      </c>
      <c r="K66" s="627" t="s">
        <v>6</v>
      </c>
      <c r="L66" s="276" t="s">
        <v>72</v>
      </c>
      <c r="O66" s="1617" t="s">
        <v>121</v>
      </c>
      <c r="P66" s="1619" t="s">
        <v>70</v>
      </c>
      <c r="Q66" s="1620"/>
      <c r="R66" s="1621"/>
      <c r="S66" s="451"/>
      <c r="T66" s="451"/>
      <c r="U66" s="451"/>
      <c r="V66" s="451"/>
      <c r="W66" s="451"/>
      <c r="X66" s="50"/>
      <c r="Y66" s="451"/>
      <c r="Z66" s="451"/>
      <c r="AA66" s="451"/>
      <c r="AB66" s="451"/>
      <c r="AC66" s="451"/>
    </row>
    <row r="67" spans="1:29" ht="30" customHeight="1" thickBot="1" x14ac:dyDescent="0.25">
      <c r="A67" s="537"/>
      <c r="B67" s="538"/>
      <c r="C67" s="539"/>
      <c r="D67" s="538"/>
      <c r="E67" s="540"/>
      <c r="F67" s="541"/>
      <c r="G67" s="541"/>
      <c r="H67" s="541"/>
      <c r="I67" s="541"/>
      <c r="J67" s="541"/>
      <c r="K67" s="542"/>
      <c r="L67" s="543"/>
      <c r="O67" s="1618"/>
      <c r="P67" s="1622"/>
      <c r="Q67" s="1623"/>
      <c r="R67" s="1624"/>
      <c r="S67" s="451"/>
      <c r="T67" s="451"/>
      <c r="U67" s="451"/>
      <c r="V67" s="451"/>
      <c r="W67" s="451"/>
      <c r="X67" s="50"/>
      <c r="Y67" s="451"/>
      <c r="Z67" s="451"/>
      <c r="AA67" s="451"/>
      <c r="AB67" s="451"/>
      <c r="AC67" s="451"/>
    </row>
    <row r="68" spans="1:29" ht="30" customHeight="1" thickBot="1" x14ac:dyDescent="0.25">
      <c r="A68" s="1502" t="s">
        <v>122</v>
      </c>
      <c r="B68" s="1569"/>
      <c r="C68" s="1153" t="s">
        <v>123</v>
      </c>
      <c r="D68" s="1563" t="s">
        <v>124</v>
      </c>
      <c r="E68" s="1552" t="s">
        <v>125</v>
      </c>
      <c r="F68" s="1408">
        <v>17.100000000000001</v>
      </c>
      <c r="G68" s="1393">
        <v>0.1</v>
      </c>
      <c r="H68" s="1385">
        <v>-0.2</v>
      </c>
      <c r="I68" s="1469">
        <v>0.2</v>
      </c>
      <c r="J68" s="1408">
        <v>1.96</v>
      </c>
      <c r="K68" s="1442" t="s">
        <v>849</v>
      </c>
      <c r="L68" s="1614" t="s">
        <v>851</v>
      </c>
      <c r="M68" s="51" t="str">
        <f>F124</f>
        <v>INM 6638 INM 6667 INM 6588</v>
      </c>
      <c r="O68" s="481"/>
      <c r="P68" s="482"/>
      <c r="Q68" s="482"/>
      <c r="R68" s="482"/>
      <c r="S68" s="451"/>
      <c r="T68" s="451"/>
      <c r="U68" s="451"/>
      <c r="V68" s="451"/>
      <c r="W68" s="451"/>
      <c r="X68" s="50"/>
      <c r="Y68" s="451"/>
      <c r="Z68" s="451"/>
      <c r="AA68" s="451"/>
      <c r="AB68" s="451"/>
      <c r="AC68" s="451"/>
    </row>
    <row r="69" spans="1:29" ht="30" customHeight="1" x14ac:dyDescent="0.2">
      <c r="A69" s="1504"/>
      <c r="B69" s="1570"/>
      <c r="C69" s="1154" t="s">
        <v>126</v>
      </c>
      <c r="D69" s="1564"/>
      <c r="E69" s="1553"/>
      <c r="F69" s="1399">
        <v>20.100000000000001</v>
      </c>
      <c r="G69" s="1470">
        <v>0.1</v>
      </c>
      <c r="H69" s="1471">
        <v>-0.1</v>
      </c>
      <c r="I69" s="1451">
        <v>0.2</v>
      </c>
      <c r="J69" s="1399">
        <v>1.96</v>
      </c>
      <c r="K69" s="1443" t="s">
        <v>849</v>
      </c>
      <c r="L69" s="1615"/>
      <c r="O69" s="1530" t="s">
        <v>127</v>
      </c>
      <c r="P69" s="374" t="s">
        <v>35</v>
      </c>
      <c r="Q69" s="375" t="s">
        <v>128</v>
      </c>
      <c r="R69" s="376" t="s">
        <v>129</v>
      </c>
      <c r="S69" s="451"/>
      <c r="T69" s="451"/>
      <c r="U69" s="451"/>
      <c r="V69" s="451"/>
      <c r="W69" s="451"/>
      <c r="X69" s="50"/>
      <c r="Y69" s="451"/>
      <c r="Z69" s="451"/>
      <c r="AA69" s="451"/>
      <c r="AB69" s="451"/>
      <c r="AC69" s="451"/>
    </row>
    <row r="70" spans="1:29" ht="30" customHeight="1" thickBot="1" x14ac:dyDescent="0.25">
      <c r="A70" s="1506"/>
      <c r="B70" s="1571"/>
      <c r="C70" s="1154" t="s">
        <v>130</v>
      </c>
      <c r="D70" s="1564"/>
      <c r="E70" s="1553"/>
      <c r="F70" s="1440">
        <v>23.1</v>
      </c>
      <c r="G70" s="1472">
        <v>0.1</v>
      </c>
      <c r="H70" s="1473">
        <v>-0.1</v>
      </c>
      <c r="I70" s="1452">
        <v>0.2</v>
      </c>
      <c r="J70" s="1474">
        <v>1.96</v>
      </c>
      <c r="K70" s="1475" t="s">
        <v>849</v>
      </c>
      <c r="L70" s="1616"/>
      <c r="O70" s="1531"/>
      <c r="P70" s="377">
        <f>MAX(I68:I70)</f>
        <v>0.2</v>
      </c>
      <c r="Q70" s="377">
        <f>MAX(I71:I73)</f>
        <v>1.7</v>
      </c>
      <c r="R70" s="378">
        <f>MAX(I74:I76)</f>
        <v>7.0999999999999994E-2</v>
      </c>
      <c r="S70" s="451"/>
      <c r="T70" s="451"/>
      <c r="U70" s="451"/>
      <c r="V70" s="451"/>
      <c r="W70" s="451"/>
      <c r="X70" s="451"/>
      <c r="Y70" s="451"/>
      <c r="Z70" s="451"/>
      <c r="AA70" s="451"/>
      <c r="AB70" s="451"/>
      <c r="AC70" s="451"/>
    </row>
    <row r="71" spans="1:29" ht="30" customHeight="1" thickBot="1" x14ac:dyDescent="0.25">
      <c r="A71" s="1502" t="s">
        <v>131</v>
      </c>
      <c r="B71" s="1503"/>
      <c r="C71" s="1154" t="s">
        <v>132</v>
      </c>
      <c r="D71" s="1564"/>
      <c r="E71" s="1553"/>
      <c r="F71" s="1408">
        <v>33.299999999999997</v>
      </c>
      <c r="G71" s="1393">
        <v>0.1</v>
      </c>
      <c r="H71" s="1393">
        <v>-3.3</v>
      </c>
      <c r="I71" s="1482">
        <v>1.7</v>
      </c>
      <c r="J71" s="1408">
        <v>1.96</v>
      </c>
      <c r="K71" s="1461" t="s">
        <v>854</v>
      </c>
      <c r="L71" s="1614" t="s">
        <v>856</v>
      </c>
      <c r="O71" s="1532"/>
      <c r="P71" s="379"/>
      <c r="Q71" s="380"/>
      <c r="R71" s="381"/>
      <c r="S71" s="451"/>
      <c r="T71" s="451"/>
      <c r="U71" s="451"/>
      <c r="V71" s="451"/>
      <c r="W71" s="451"/>
      <c r="X71" s="451"/>
      <c r="Y71" s="451"/>
      <c r="Z71" s="451"/>
      <c r="AA71" s="451"/>
      <c r="AB71" s="451"/>
      <c r="AC71" s="451"/>
    </row>
    <row r="72" spans="1:29" ht="30" customHeight="1" x14ac:dyDescent="0.2">
      <c r="A72" s="1504"/>
      <c r="B72" s="1505"/>
      <c r="C72" s="1154" t="s">
        <v>133</v>
      </c>
      <c r="D72" s="1564"/>
      <c r="E72" s="1553"/>
      <c r="F72" s="1466">
        <v>55.6</v>
      </c>
      <c r="G72" s="1470">
        <v>0.1</v>
      </c>
      <c r="H72" s="1438">
        <v>-0.6</v>
      </c>
      <c r="I72" s="1451">
        <v>1.7</v>
      </c>
      <c r="J72" s="1399">
        <v>1.96</v>
      </c>
      <c r="K72" s="1462" t="s">
        <v>854</v>
      </c>
      <c r="L72" s="1615"/>
      <c r="O72" s="544"/>
      <c r="Q72" s="451"/>
      <c r="R72" s="451"/>
      <c r="S72" s="451"/>
      <c r="T72" s="451"/>
      <c r="U72" s="451"/>
      <c r="V72" s="451"/>
      <c r="W72" s="451"/>
      <c r="X72" s="451"/>
      <c r="Y72" s="451"/>
      <c r="Z72" s="451"/>
      <c r="AA72" s="451"/>
      <c r="AB72" s="451"/>
      <c r="AC72" s="451"/>
    </row>
    <row r="73" spans="1:29" ht="30" customHeight="1" thickBot="1" x14ac:dyDescent="0.25">
      <c r="A73" s="1506"/>
      <c r="B73" s="1507"/>
      <c r="C73" s="1154" t="s">
        <v>134</v>
      </c>
      <c r="D73" s="1564"/>
      <c r="E73" s="1553"/>
      <c r="F73" s="1440">
        <v>78.8</v>
      </c>
      <c r="G73" s="1472">
        <v>0.1</v>
      </c>
      <c r="H73" s="1388">
        <v>2.1</v>
      </c>
      <c r="I73" s="1452">
        <v>1.7</v>
      </c>
      <c r="J73" s="1413">
        <v>1.96</v>
      </c>
      <c r="K73" s="1463" t="s">
        <v>854</v>
      </c>
      <c r="L73" s="1677"/>
      <c r="O73" s="544"/>
      <c r="Q73" s="451"/>
      <c r="R73" s="451"/>
      <c r="S73" s="451"/>
      <c r="T73" s="451"/>
      <c r="U73" s="451"/>
      <c r="V73" s="451"/>
      <c r="W73" s="451"/>
      <c r="X73" s="451"/>
      <c r="Y73" s="451"/>
      <c r="Z73" s="451"/>
      <c r="AA73" s="451"/>
      <c r="AB73" s="451"/>
      <c r="AC73" s="451"/>
    </row>
    <row r="74" spans="1:29" ht="30" customHeight="1" x14ac:dyDescent="0.2">
      <c r="A74" s="1504" t="s">
        <v>135</v>
      </c>
      <c r="B74" s="1505"/>
      <c r="C74" s="1154" t="s">
        <v>859</v>
      </c>
      <c r="D74" s="1564"/>
      <c r="E74" s="1553"/>
      <c r="F74" s="1448">
        <v>499.78800000000001</v>
      </c>
      <c r="G74" s="1393">
        <v>0.1</v>
      </c>
      <c r="H74" s="1401">
        <v>1.6559999999999999</v>
      </c>
      <c r="I74" s="1449">
        <v>6.6000000000000003E-2</v>
      </c>
      <c r="J74" s="1408">
        <v>2.04</v>
      </c>
      <c r="K74" s="1442" t="s">
        <v>843</v>
      </c>
      <c r="L74" s="1674" t="s">
        <v>844</v>
      </c>
      <c r="O74" s="544"/>
      <c r="Q74" s="451"/>
      <c r="R74" s="451"/>
      <c r="S74" s="451"/>
      <c r="T74" s="451"/>
      <c r="U74" s="451"/>
      <c r="V74" s="451"/>
      <c r="W74" s="451"/>
      <c r="X74" s="451"/>
      <c r="Y74" s="451"/>
      <c r="Z74" s="451"/>
      <c r="AA74" s="451"/>
      <c r="AB74" s="451"/>
      <c r="AC74" s="451"/>
    </row>
    <row r="75" spans="1:29" ht="30" customHeight="1" x14ac:dyDescent="0.2">
      <c r="A75" s="1504"/>
      <c r="B75" s="1505"/>
      <c r="C75" s="1154" t="s">
        <v>860</v>
      </c>
      <c r="D75" s="1564"/>
      <c r="E75" s="1553"/>
      <c r="F75" s="1450">
        <v>752.28800000000001</v>
      </c>
      <c r="G75" s="1403">
        <v>0.1</v>
      </c>
      <c r="H75" s="1402">
        <v>1.0900000000000001</v>
      </c>
      <c r="I75" s="1451">
        <v>6.8000000000000005E-2</v>
      </c>
      <c r="J75" s="1399">
        <v>2.04</v>
      </c>
      <c r="K75" s="1443" t="s">
        <v>843</v>
      </c>
      <c r="L75" s="1675"/>
      <c r="O75" s="544"/>
      <c r="Q75" s="451"/>
      <c r="R75" s="451"/>
      <c r="S75" s="451"/>
      <c r="T75" s="451"/>
      <c r="U75" s="451"/>
      <c r="V75" s="451"/>
      <c r="W75" s="451"/>
      <c r="X75" s="451"/>
      <c r="Y75" s="451"/>
      <c r="Z75" s="451"/>
      <c r="AA75" s="451"/>
      <c r="AB75" s="451"/>
      <c r="AC75" s="451"/>
    </row>
    <row r="76" spans="1:29" ht="30" customHeight="1" thickBot="1" x14ac:dyDescent="0.25">
      <c r="A76" s="1504"/>
      <c r="B76" s="1505"/>
      <c r="C76" s="1155" t="s">
        <v>861</v>
      </c>
      <c r="D76" s="1565"/>
      <c r="E76" s="1554"/>
      <c r="F76" s="1400">
        <v>899.58299999999997</v>
      </c>
      <c r="G76" s="1394">
        <v>0.1</v>
      </c>
      <c r="H76" s="1447">
        <v>0.85599999999999998</v>
      </c>
      <c r="I76" s="1452">
        <v>7.0999999999999994E-2</v>
      </c>
      <c r="J76" s="1413">
        <v>2.04</v>
      </c>
      <c r="K76" s="1444" t="s">
        <v>843</v>
      </c>
      <c r="L76" s="1676"/>
      <c r="O76" s="544"/>
      <c r="Q76" s="451"/>
      <c r="R76" s="451"/>
      <c r="S76" s="451"/>
      <c r="T76" s="451"/>
      <c r="U76" s="451"/>
      <c r="V76" s="451"/>
      <c r="W76" s="451"/>
      <c r="X76" s="451"/>
      <c r="Y76" s="451"/>
      <c r="Z76" s="451"/>
      <c r="AA76" s="451"/>
      <c r="AB76" s="451"/>
      <c r="AC76" s="451"/>
    </row>
    <row r="77" spans="1:29" ht="30" customHeight="1" x14ac:dyDescent="0.2">
      <c r="A77" s="495"/>
      <c r="B77" s="545"/>
      <c r="C77" s="546"/>
      <c r="D77" s="539"/>
      <c r="E77" s="547"/>
      <c r="F77" s="307"/>
      <c r="G77" s="307"/>
      <c r="H77" s="307"/>
      <c r="I77" s="307"/>
      <c r="J77" s="307"/>
      <c r="K77" s="515"/>
      <c r="L77" s="525"/>
      <c r="O77" s="544"/>
      <c r="Q77" s="451"/>
      <c r="R77" s="451"/>
      <c r="S77" s="451"/>
      <c r="T77" s="451"/>
      <c r="U77" s="451"/>
      <c r="V77" s="451"/>
      <c r="W77" s="451"/>
      <c r="X77" s="451"/>
      <c r="Y77" s="451"/>
      <c r="Z77" s="451"/>
      <c r="AA77" s="451"/>
      <c r="AB77" s="451"/>
      <c r="AC77" s="451"/>
    </row>
    <row r="78" spans="1:29" ht="30" customHeight="1" thickBot="1" x14ac:dyDescent="0.25">
      <c r="A78" s="548"/>
      <c r="B78" s="549"/>
      <c r="C78" s="546"/>
      <c r="D78" s="550"/>
      <c r="E78" s="551"/>
      <c r="F78" s="307"/>
      <c r="G78" s="307"/>
      <c r="H78" s="307"/>
      <c r="I78" s="307"/>
      <c r="J78" s="307"/>
      <c r="K78" s="515"/>
      <c r="L78" s="525"/>
      <c r="O78" s="544"/>
      <c r="Q78" s="451"/>
      <c r="R78" s="451"/>
      <c r="S78" s="451"/>
      <c r="T78" s="451"/>
      <c r="U78" s="451"/>
      <c r="V78" s="451"/>
      <c r="W78" s="451"/>
      <c r="X78" s="451"/>
      <c r="Y78" s="451"/>
      <c r="Z78" s="451"/>
      <c r="AA78" s="451"/>
      <c r="AB78" s="451"/>
      <c r="AC78" s="451"/>
    </row>
    <row r="79" spans="1:29" ht="30" customHeight="1" x14ac:dyDescent="0.2">
      <c r="A79" s="1559" t="s">
        <v>122</v>
      </c>
      <c r="B79" s="1560"/>
      <c r="C79" s="1153" t="s">
        <v>136</v>
      </c>
      <c r="D79" s="1563" t="s">
        <v>124</v>
      </c>
      <c r="E79" s="1552" t="s">
        <v>137</v>
      </c>
      <c r="F79" s="1408">
        <v>18</v>
      </c>
      <c r="G79" s="1393">
        <v>0.1</v>
      </c>
      <c r="H79" s="1385">
        <v>0</v>
      </c>
      <c r="I79" s="1437">
        <v>0.2</v>
      </c>
      <c r="J79" s="1408">
        <v>1.96</v>
      </c>
      <c r="K79" s="1442" t="s">
        <v>841</v>
      </c>
      <c r="L79" s="1508" t="s">
        <v>842</v>
      </c>
      <c r="M79" s="51" t="str">
        <f>F125</f>
        <v>INM 6603 INM 6596 INM 6591</v>
      </c>
      <c r="O79" s="1530" t="s">
        <v>138</v>
      </c>
      <c r="P79" s="374" t="s">
        <v>35</v>
      </c>
      <c r="Q79" s="375" t="s">
        <v>128</v>
      </c>
      <c r="R79" s="376" t="s">
        <v>129</v>
      </c>
      <c r="S79" s="451"/>
      <c r="T79" s="451"/>
      <c r="U79" s="451"/>
      <c r="V79" s="451"/>
      <c r="W79" s="451"/>
      <c r="X79" s="451"/>
      <c r="Y79" s="451"/>
      <c r="Z79" s="451"/>
      <c r="AA79" s="451"/>
      <c r="AB79" s="451"/>
      <c r="AC79" s="451"/>
    </row>
    <row r="80" spans="1:29" ht="30" customHeight="1" x14ac:dyDescent="0.2">
      <c r="A80" s="1561"/>
      <c r="B80" s="1562"/>
      <c r="C80" s="1154" t="s">
        <v>139</v>
      </c>
      <c r="D80" s="1564"/>
      <c r="E80" s="1553"/>
      <c r="F80" s="1399">
        <v>21.1</v>
      </c>
      <c r="G80" s="1403">
        <v>0.1</v>
      </c>
      <c r="H80" s="1438">
        <v>-0.1</v>
      </c>
      <c r="I80" s="1439">
        <v>0.2</v>
      </c>
      <c r="J80" s="1399">
        <v>1.96</v>
      </c>
      <c r="K80" s="1443" t="s">
        <v>841</v>
      </c>
      <c r="L80" s="1509"/>
      <c r="O80" s="1531"/>
      <c r="P80" s="227">
        <f>MAX(I79:I81)</f>
        <v>0.2</v>
      </c>
      <c r="Q80" s="552">
        <f>MAX(I82:I84)</f>
        <v>1.7</v>
      </c>
      <c r="R80" s="553">
        <f>MAX(I85:I87)</f>
        <v>7.1999999999999995E-2</v>
      </c>
      <c r="S80" s="451"/>
      <c r="T80" s="451"/>
      <c r="U80" s="451"/>
      <c r="V80" s="451"/>
      <c r="W80" s="451"/>
      <c r="X80" s="451"/>
      <c r="Y80" s="451"/>
      <c r="Z80" s="451"/>
      <c r="AA80" s="451"/>
      <c r="AB80" s="451"/>
      <c r="AC80" s="451"/>
    </row>
    <row r="81" spans="1:29" ht="30" customHeight="1" thickBot="1" x14ac:dyDescent="0.25">
      <c r="A81" s="1561"/>
      <c r="B81" s="1562"/>
      <c r="C81" s="1154" t="s">
        <v>140</v>
      </c>
      <c r="D81" s="1564"/>
      <c r="E81" s="1553"/>
      <c r="F81" s="1440">
        <v>24</v>
      </c>
      <c r="G81" s="1394">
        <v>0.1</v>
      </c>
      <c r="H81" s="1388">
        <v>0</v>
      </c>
      <c r="I81" s="1441">
        <v>0.2</v>
      </c>
      <c r="J81" s="1413">
        <v>1.96</v>
      </c>
      <c r="K81" s="1444" t="s">
        <v>841</v>
      </c>
      <c r="L81" s="1510"/>
      <c r="O81" s="1531"/>
      <c r="P81" s="554"/>
      <c r="Q81" s="555"/>
      <c r="R81" s="556"/>
      <c r="S81" s="451"/>
      <c r="T81" s="451"/>
      <c r="U81" s="451"/>
      <c r="V81" s="451"/>
      <c r="W81" s="451"/>
      <c r="X81" s="451"/>
      <c r="Y81" s="451"/>
      <c r="Z81" s="451"/>
      <c r="AA81" s="451"/>
      <c r="AB81" s="451"/>
      <c r="AC81" s="451"/>
    </row>
    <row r="82" spans="1:29" ht="30" customHeight="1" thickBot="1" x14ac:dyDescent="0.25">
      <c r="A82" s="1555" t="s">
        <v>131</v>
      </c>
      <c r="B82" s="1556"/>
      <c r="C82" s="1154" t="s">
        <v>141</v>
      </c>
      <c r="D82" s="1564"/>
      <c r="E82" s="1553"/>
      <c r="F82" s="1408">
        <v>33.6</v>
      </c>
      <c r="G82" s="1393">
        <v>0.1</v>
      </c>
      <c r="H82" s="1393">
        <v>-3.6</v>
      </c>
      <c r="I82" s="1409">
        <v>1.7</v>
      </c>
      <c r="J82" s="1408">
        <v>1.96</v>
      </c>
      <c r="K82" s="1410" t="s">
        <v>836</v>
      </c>
      <c r="L82" s="1508" t="s">
        <v>837</v>
      </c>
      <c r="O82" s="557"/>
      <c r="P82" s="558"/>
      <c r="Q82" s="558"/>
      <c r="R82" s="559"/>
      <c r="S82" s="451"/>
      <c r="T82" s="451"/>
      <c r="U82" s="451"/>
      <c r="V82" s="451"/>
      <c r="W82" s="451"/>
      <c r="X82" s="451"/>
      <c r="Y82" s="451"/>
      <c r="Z82" s="451"/>
      <c r="AA82" s="451"/>
      <c r="AB82" s="451"/>
      <c r="AC82" s="451"/>
    </row>
    <row r="83" spans="1:29" ht="30" customHeight="1" x14ac:dyDescent="0.2">
      <c r="A83" s="1555"/>
      <c r="B83" s="1556"/>
      <c r="C83" s="1154" t="s">
        <v>142</v>
      </c>
      <c r="D83" s="1564"/>
      <c r="E83" s="1553"/>
      <c r="F83" s="1399">
        <v>55.8</v>
      </c>
      <c r="G83" s="1403">
        <v>0.1</v>
      </c>
      <c r="H83" s="1403">
        <v>-0.8</v>
      </c>
      <c r="I83" s="1411">
        <v>1.7</v>
      </c>
      <c r="J83" s="1399">
        <v>1.96</v>
      </c>
      <c r="K83" s="1412" t="s">
        <v>836</v>
      </c>
      <c r="L83" s="1509"/>
      <c r="O83" s="544"/>
      <c r="Q83" s="451"/>
      <c r="R83" s="451"/>
      <c r="S83" s="451"/>
      <c r="T83" s="451"/>
      <c r="U83" s="451"/>
      <c r="V83" s="451"/>
      <c r="W83" s="451"/>
      <c r="X83" s="451"/>
      <c r="Y83" s="451"/>
      <c r="Z83" s="451"/>
      <c r="AA83" s="451"/>
      <c r="AB83" s="451"/>
      <c r="AC83" s="451"/>
    </row>
    <row r="84" spans="1:29" ht="30" customHeight="1" thickBot="1" x14ac:dyDescent="0.25">
      <c r="A84" s="1555"/>
      <c r="B84" s="1556"/>
      <c r="C84" s="1154" t="s">
        <v>143</v>
      </c>
      <c r="D84" s="1564"/>
      <c r="E84" s="1553"/>
      <c r="F84" s="1413">
        <v>78.400000000000006</v>
      </c>
      <c r="G84" s="1394">
        <v>0.1</v>
      </c>
      <c r="H84" s="1394">
        <v>2.5</v>
      </c>
      <c r="I84" s="1414">
        <v>1.7</v>
      </c>
      <c r="J84" s="1413">
        <v>1.96</v>
      </c>
      <c r="K84" s="1415" t="s">
        <v>836</v>
      </c>
      <c r="L84" s="1510"/>
      <c r="O84" s="544"/>
      <c r="Q84" s="451"/>
      <c r="R84" s="451"/>
      <c r="S84" s="451"/>
      <c r="T84" s="451"/>
      <c r="U84" s="451"/>
      <c r="V84" s="451"/>
      <c r="W84" s="451"/>
      <c r="X84" s="451"/>
      <c r="Y84" s="451"/>
      <c r="Z84" s="451"/>
      <c r="AA84" s="451"/>
      <c r="AB84" s="451"/>
      <c r="AC84" s="451"/>
    </row>
    <row r="85" spans="1:29" ht="30" customHeight="1" x14ac:dyDescent="0.2">
      <c r="A85" s="1555" t="s">
        <v>135</v>
      </c>
      <c r="B85" s="1556"/>
      <c r="C85" s="1154" t="s">
        <v>862</v>
      </c>
      <c r="D85" s="1564"/>
      <c r="E85" s="1553"/>
      <c r="F85" s="1408">
        <v>499.79599999999999</v>
      </c>
      <c r="G85" s="1393">
        <v>0.1</v>
      </c>
      <c r="H85" s="1393">
        <v>1.548</v>
      </c>
      <c r="I85" s="1409">
        <v>6.6000000000000003E-2</v>
      </c>
      <c r="J85" s="1408">
        <v>2.04</v>
      </c>
      <c r="K85" s="1410" t="s">
        <v>843</v>
      </c>
      <c r="L85" s="1670" t="s">
        <v>845</v>
      </c>
      <c r="O85" s="544"/>
      <c r="Q85" s="451"/>
      <c r="R85" s="451"/>
      <c r="S85" s="451"/>
      <c r="T85" s="451"/>
      <c r="U85" s="451"/>
      <c r="V85" s="451"/>
      <c r="W85" s="451"/>
      <c r="X85" s="451"/>
      <c r="Y85" s="451"/>
      <c r="Z85" s="451"/>
      <c r="AA85" s="451"/>
      <c r="AB85" s="451"/>
      <c r="AC85" s="451"/>
    </row>
    <row r="86" spans="1:29" ht="30" customHeight="1" x14ac:dyDescent="0.2">
      <c r="A86" s="1555"/>
      <c r="B86" s="1556"/>
      <c r="C86" s="1154" t="s">
        <v>863</v>
      </c>
      <c r="D86" s="1564"/>
      <c r="E86" s="1553"/>
      <c r="F86" s="1398">
        <v>752.29499999999996</v>
      </c>
      <c r="G86" s="1403">
        <v>0.1</v>
      </c>
      <c r="H86" s="1453">
        <v>1.0489999999999999</v>
      </c>
      <c r="I86" s="1411">
        <v>6.8000000000000005E-2</v>
      </c>
      <c r="J86" s="1399">
        <v>2.04</v>
      </c>
      <c r="K86" s="1412" t="s">
        <v>843</v>
      </c>
      <c r="L86" s="1509" t="s">
        <v>145</v>
      </c>
      <c r="O86" s="544"/>
      <c r="Q86" s="451"/>
      <c r="R86" s="451"/>
      <c r="S86" s="451"/>
      <c r="T86" s="451"/>
      <c r="U86" s="451"/>
      <c r="V86" s="451"/>
      <c r="W86" s="451"/>
      <c r="X86" s="451"/>
      <c r="Y86" s="451"/>
      <c r="Z86" s="451"/>
      <c r="AA86" s="451"/>
      <c r="AB86" s="451"/>
      <c r="AC86" s="451"/>
    </row>
    <row r="87" spans="1:29" ht="30" customHeight="1" thickBot="1" x14ac:dyDescent="0.25">
      <c r="A87" s="1557"/>
      <c r="B87" s="1558"/>
      <c r="C87" s="1155" t="s">
        <v>864</v>
      </c>
      <c r="D87" s="1565"/>
      <c r="E87" s="1554"/>
      <c r="F87" s="1400">
        <v>949.69299999999998</v>
      </c>
      <c r="G87" s="1394">
        <v>0.1</v>
      </c>
      <c r="H87" s="1394">
        <v>0.82299999999999995</v>
      </c>
      <c r="I87" s="1414">
        <v>7.1999999999999995E-2</v>
      </c>
      <c r="J87" s="1413">
        <v>2.04</v>
      </c>
      <c r="K87" s="1415" t="s">
        <v>843</v>
      </c>
      <c r="L87" s="1510"/>
      <c r="O87" s="544"/>
      <c r="Q87" s="451"/>
      <c r="R87" s="451"/>
      <c r="S87" s="451"/>
      <c r="T87" s="451"/>
      <c r="U87" s="451"/>
      <c r="V87" s="451"/>
      <c r="W87" s="451"/>
      <c r="X87" s="451"/>
      <c r="Y87" s="451"/>
      <c r="Z87" s="451"/>
      <c r="AA87" s="451"/>
      <c r="AB87" s="451"/>
      <c r="AC87" s="451"/>
    </row>
    <row r="88" spans="1:29" ht="30" customHeight="1" x14ac:dyDescent="0.2">
      <c r="B88" s="560"/>
      <c r="O88" s="544"/>
      <c r="Q88" s="451"/>
      <c r="R88" s="451"/>
      <c r="S88" s="451"/>
      <c r="T88" s="451"/>
      <c r="U88" s="451"/>
      <c r="V88" s="451"/>
      <c r="W88" s="451"/>
      <c r="X88" s="451"/>
      <c r="Y88" s="451"/>
      <c r="Z88" s="451"/>
      <c r="AA88" s="451"/>
      <c r="AB88" s="451"/>
      <c r="AC88" s="451"/>
    </row>
    <row r="89" spans="1:29" ht="30" customHeight="1" thickBot="1" x14ac:dyDescent="0.25">
      <c r="B89" s="560"/>
      <c r="C89" s="561"/>
      <c r="D89" s="546"/>
      <c r="E89" s="50"/>
      <c r="F89" s="307"/>
      <c r="G89" s="307"/>
      <c r="H89" s="307"/>
      <c r="I89" s="307"/>
      <c r="J89" s="307"/>
      <c r="K89" s="515"/>
      <c r="O89" s="544"/>
      <c r="Q89" s="451"/>
      <c r="R89" s="451"/>
      <c r="S89" s="451"/>
      <c r="T89" s="451"/>
      <c r="U89" s="451"/>
      <c r="V89" s="451"/>
      <c r="W89" s="451"/>
      <c r="X89" s="451"/>
      <c r="Y89" s="451"/>
      <c r="Z89" s="451"/>
      <c r="AA89" s="451"/>
      <c r="AB89" s="451"/>
      <c r="AC89" s="451"/>
    </row>
    <row r="90" spans="1:29" ht="30" customHeight="1" x14ac:dyDescent="0.2">
      <c r="A90" s="1559" t="s">
        <v>122</v>
      </c>
      <c r="B90" s="1560"/>
      <c r="C90" s="1153" t="s">
        <v>146</v>
      </c>
      <c r="D90" s="1563" t="s">
        <v>124</v>
      </c>
      <c r="E90" s="1566" t="s">
        <v>147</v>
      </c>
      <c r="F90" s="856">
        <v>10.3</v>
      </c>
      <c r="G90" s="855">
        <v>0.1</v>
      </c>
      <c r="H90" s="1416">
        <v>0</v>
      </c>
      <c r="I90" s="1417">
        <v>0.3</v>
      </c>
      <c r="J90" s="856">
        <v>1.96</v>
      </c>
      <c r="K90" s="857" t="s">
        <v>148</v>
      </c>
      <c r="L90" s="1678" t="s">
        <v>149</v>
      </c>
      <c r="M90" s="51" t="str">
        <f>F126</f>
        <v>INM 5912 INM 5913 INM 5239</v>
      </c>
      <c r="O90" s="1530" t="s">
        <v>150</v>
      </c>
      <c r="P90" s="374" t="s">
        <v>35</v>
      </c>
      <c r="Q90" s="375" t="s">
        <v>128</v>
      </c>
      <c r="R90" s="376" t="s">
        <v>129</v>
      </c>
      <c r="S90" s="451"/>
      <c r="T90" s="451"/>
      <c r="U90" s="451"/>
      <c r="V90" s="451"/>
      <c r="W90" s="451"/>
      <c r="X90" s="451"/>
      <c r="Y90" s="451"/>
      <c r="Z90" s="451"/>
      <c r="AA90" s="451"/>
      <c r="AB90" s="451"/>
      <c r="AC90" s="451"/>
    </row>
    <row r="91" spans="1:29" ht="30" customHeight="1" x14ac:dyDescent="0.2">
      <c r="A91" s="1561"/>
      <c r="B91" s="1562"/>
      <c r="C91" s="1154" t="s">
        <v>151</v>
      </c>
      <c r="D91" s="1564"/>
      <c r="E91" s="1567"/>
      <c r="F91" s="1418">
        <v>20</v>
      </c>
      <c r="G91" s="859">
        <v>0.1</v>
      </c>
      <c r="H91" s="1419">
        <v>0.1</v>
      </c>
      <c r="I91" s="1420">
        <v>0.2</v>
      </c>
      <c r="J91" s="858">
        <v>1.96</v>
      </c>
      <c r="K91" s="860" t="s">
        <v>148</v>
      </c>
      <c r="L91" s="1672"/>
      <c r="O91" s="1531"/>
      <c r="P91" s="227">
        <f>MAX(I90:I92)</f>
        <v>0.4</v>
      </c>
      <c r="Q91" s="562">
        <f>MAX(I93:I95)</f>
        <v>1.7</v>
      </c>
      <c r="R91" s="563">
        <f>MAX(I96:I98)</f>
        <v>8.7999999999999995E-2</v>
      </c>
      <c r="S91" s="451"/>
      <c r="T91" s="451"/>
      <c r="U91" s="451"/>
      <c r="V91" s="451"/>
      <c r="W91" s="451"/>
      <c r="X91" s="451"/>
      <c r="Y91" s="451"/>
      <c r="Z91" s="451"/>
      <c r="AA91" s="451"/>
      <c r="AB91" s="451"/>
      <c r="AC91" s="451"/>
    </row>
    <row r="92" spans="1:29" ht="30" customHeight="1" thickBot="1" x14ac:dyDescent="0.25">
      <c r="A92" s="1561"/>
      <c r="B92" s="1562"/>
      <c r="C92" s="1154" t="s">
        <v>152</v>
      </c>
      <c r="D92" s="1564"/>
      <c r="E92" s="1567"/>
      <c r="F92" s="1421">
        <v>39.200000000000003</v>
      </c>
      <c r="G92" s="862">
        <v>0.1</v>
      </c>
      <c r="H92" s="1422">
        <v>0.3</v>
      </c>
      <c r="I92" s="1423">
        <v>0.4</v>
      </c>
      <c r="J92" s="861">
        <v>1.96</v>
      </c>
      <c r="K92" s="863" t="s">
        <v>148</v>
      </c>
      <c r="L92" s="1673"/>
      <c r="O92" s="1532"/>
      <c r="P92" s="379"/>
      <c r="Q92" s="380"/>
      <c r="R92" s="381"/>
      <c r="S92" s="451"/>
      <c r="T92" s="451"/>
      <c r="U92" s="451"/>
      <c r="V92" s="451"/>
      <c r="W92" s="451"/>
      <c r="X92" s="451"/>
      <c r="Y92" s="451"/>
      <c r="Z92" s="451"/>
      <c r="AA92" s="451"/>
      <c r="AB92" s="451"/>
      <c r="AC92" s="451"/>
    </row>
    <row r="93" spans="1:29" ht="30" customHeight="1" x14ac:dyDescent="0.2">
      <c r="A93" s="1555" t="s">
        <v>131</v>
      </c>
      <c r="B93" s="1556"/>
      <c r="C93" s="1154" t="s">
        <v>153</v>
      </c>
      <c r="D93" s="1564"/>
      <c r="E93" s="1567"/>
      <c r="F93" s="856">
        <v>33.299999999999997</v>
      </c>
      <c r="G93" s="855">
        <v>0.1</v>
      </c>
      <c r="H93" s="855">
        <v>-3.3</v>
      </c>
      <c r="I93" s="1175">
        <v>1.7</v>
      </c>
      <c r="J93" s="856">
        <v>1.96</v>
      </c>
      <c r="K93" s="857" t="s">
        <v>154</v>
      </c>
      <c r="L93" s="1678" t="s">
        <v>155</v>
      </c>
      <c r="O93" s="544"/>
      <c r="Q93" s="451"/>
      <c r="R93" s="451"/>
      <c r="S93" s="451"/>
      <c r="T93" s="451"/>
      <c r="U93" s="451"/>
      <c r="V93" s="451"/>
      <c r="W93" s="451"/>
      <c r="X93" s="451"/>
      <c r="Y93" s="451"/>
      <c r="Z93" s="451"/>
      <c r="AA93" s="451"/>
      <c r="AB93" s="451"/>
      <c r="AC93" s="451"/>
    </row>
    <row r="94" spans="1:29" ht="30" customHeight="1" x14ac:dyDescent="0.2">
      <c r="A94" s="1555"/>
      <c r="B94" s="1556"/>
      <c r="C94" s="1154" t="s">
        <v>156</v>
      </c>
      <c r="D94" s="1564"/>
      <c r="E94" s="1567"/>
      <c r="F94" s="858">
        <v>51.3</v>
      </c>
      <c r="G94" s="859">
        <v>0.1</v>
      </c>
      <c r="H94" s="859">
        <v>-1.4</v>
      </c>
      <c r="I94" s="1424">
        <v>1.7</v>
      </c>
      <c r="J94" s="858">
        <v>1.96</v>
      </c>
      <c r="K94" s="860" t="s">
        <v>154</v>
      </c>
      <c r="L94" s="1672"/>
      <c r="O94" s="544"/>
      <c r="Q94" s="451"/>
      <c r="R94" s="451"/>
      <c r="S94" s="451"/>
      <c r="T94" s="451"/>
      <c r="U94" s="451"/>
      <c r="V94" s="451"/>
      <c r="W94" s="451"/>
      <c r="X94" s="451"/>
      <c r="Y94" s="451"/>
      <c r="Z94" s="451"/>
      <c r="AA94" s="451"/>
      <c r="AB94" s="451"/>
      <c r="AC94" s="451"/>
    </row>
    <row r="95" spans="1:29" ht="30" customHeight="1" thickBot="1" x14ac:dyDescent="0.25">
      <c r="A95" s="1555"/>
      <c r="B95" s="1556"/>
      <c r="C95" s="1154" t="s">
        <v>157</v>
      </c>
      <c r="D95" s="1564"/>
      <c r="E95" s="1567"/>
      <c r="F95" s="861">
        <v>77.5</v>
      </c>
      <c r="G95" s="862">
        <v>0.1</v>
      </c>
      <c r="H95" s="862">
        <v>2.5</v>
      </c>
      <c r="I95" s="1425">
        <v>1.7</v>
      </c>
      <c r="J95" s="861">
        <v>1.96</v>
      </c>
      <c r="K95" s="863" t="s">
        <v>154</v>
      </c>
      <c r="L95" s="1673"/>
      <c r="O95" s="544"/>
      <c r="Q95" s="451"/>
      <c r="R95" s="451"/>
      <c r="S95" s="451"/>
      <c r="T95" s="451"/>
      <c r="U95" s="451"/>
      <c r="V95" s="451"/>
      <c r="W95" s="451"/>
      <c r="X95" s="451"/>
      <c r="Y95" s="451"/>
      <c r="Z95" s="451"/>
      <c r="AA95" s="451"/>
      <c r="AB95" s="451"/>
      <c r="AC95" s="451"/>
    </row>
    <row r="96" spans="1:29" ht="30" customHeight="1" x14ac:dyDescent="0.2">
      <c r="A96" s="1555" t="s">
        <v>135</v>
      </c>
      <c r="B96" s="1556"/>
      <c r="C96" s="1154" t="s">
        <v>865</v>
      </c>
      <c r="D96" s="1564"/>
      <c r="E96" s="1567"/>
      <c r="F96" s="1176">
        <v>499.02600000000001</v>
      </c>
      <c r="G96" s="855">
        <v>0.1</v>
      </c>
      <c r="H96" s="855">
        <v>1.573</v>
      </c>
      <c r="I96" s="1175">
        <v>7.6999999999999999E-2</v>
      </c>
      <c r="J96" s="856">
        <v>1.96</v>
      </c>
      <c r="K96" s="857" t="s">
        <v>144</v>
      </c>
      <c r="L96" s="1671" t="s">
        <v>158</v>
      </c>
      <c r="O96" s="544"/>
      <c r="Q96" s="451"/>
      <c r="R96" s="451"/>
      <c r="S96" s="451"/>
      <c r="T96" s="451"/>
      <c r="U96" s="451"/>
      <c r="V96" s="451"/>
      <c r="W96" s="451"/>
      <c r="X96" s="451"/>
      <c r="Y96" s="451"/>
      <c r="Z96" s="451"/>
      <c r="AA96" s="451"/>
      <c r="AB96" s="451"/>
      <c r="AC96" s="451"/>
    </row>
    <row r="97" spans="1:29" ht="30" customHeight="1" x14ac:dyDescent="0.2">
      <c r="A97" s="1555"/>
      <c r="B97" s="1556"/>
      <c r="C97" s="1154" t="s">
        <v>866</v>
      </c>
      <c r="D97" s="1564"/>
      <c r="E97" s="1567"/>
      <c r="F97" s="858">
        <v>752.18100000000004</v>
      </c>
      <c r="G97" s="859">
        <v>0.1</v>
      </c>
      <c r="H97" s="1177">
        <v>1.0469999999999999</v>
      </c>
      <c r="I97" s="1424">
        <v>8.3000000000000004E-2</v>
      </c>
      <c r="J97" s="858">
        <v>1.96</v>
      </c>
      <c r="K97" s="860" t="s">
        <v>144</v>
      </c>
      <c r="L97" s="1672" t="s">
        <v>159</v>
      </c>
      <c r="O97" s="544"/>
      <c r="Q97" s="451"/>
      <c r="R97" s="451"/>
      <c r="S97" s="451"/>
      <c r="T97" s="451"/>
      <c r="U97" s="451"/>
      <c r="V97" s="451"/>
      <c r="W97" s="451"/>
      <c r="X97" s="451"/>
      <c r="Y97" s="451"/>
      <c r="Z97" s="451"/>
      <c r="AA97" s="451"/>
      <c r="AB97" s="451"/>
      <c r="AC97" s="451"/>
    </row>
    <row r="98" spans="1:29" ht="30" customHeight="1" thickBot="1" x14ac:dyDescent="0.25">
      <c r="A98" s="1557"/>
      <c r="B98" s="1558"/>
      <c r="C98" s="1155" t="s">
        <v>867</v>
      </c>
      <c r="D98" s="1565"/>
      <c r="E98" s="1568"/>
      <c r="F98" s="1178">
        <v>900.66499999999996</v>
      </c>
      <c r="G98" s="862">
        <v>0.1</v>
      </c>
      <c r="H98" s="862">
        <v>0.73699999999999999</v>
      </c>
      <c r="I98" s="1425">
        <v>8.7999999999999995E-2</v>
      </c>
      <c r="J98" s="861">
        <v>1.96</v>
      </c>
      <c r="K98" s="863" t="s">
        <v>144</v>
      </c>
      <c r="L98" s="1673" t="s">
        <v>160</v>
      </c>
      <c r="O98" s="544"/>
      <c r="Q98" s="451"/>
      <c r="R98" s="451"/>
      <c r="S98" s="451"/>
      <c r="T98" s="451"/>
      <c r="U98" s="451"/>
      <c r="V98" s="451"/>
      <c r="W98" s="451"/>
      <c r="X98" s="451"/>
      <c r="Y98" s="451"/>
      <c r="Z98" s="451"/>
      <c r="AA98" s="451"/>
      <c r="AB98" s="451"/>
      <c r="AC98" s="451"/>
    </row>
    <row r="99" spans="1:29" ht="30" customHeight="1" x14ac:dyDescent="0.2">
      <c r="B99" s="560"/>
      <c r="O99" s="544"/>
      <c r="Q99" s="451"/>
      <c r="R99" s="451"/>
      <c r="S99" s="451"/>
      <c r="T99" s="451"/>
      <c r="U99" s="451"/>
      <c r="V99" s="451"/>
      <c r="W99" s="451"/>
      <c r="X99" s="451"/>
      <c r="Y99" s="451"/>
      <c r="Z99" s="451"/>
      <c r="AA99" s="451"/>
      <c r="AB99" s="451"/>
      <c r="AC99" s="451"/>
    </row>
    <row r="100" spans="1:29" ht="30" customHeight="1" thickBot="1" x14ac:dyDescent="0.25">
      <c r="B100" s="560"/>
      <c r="C100" s="546"/>
      <c r="D100" s="561"/>
      <c r="E100" s="50"/>
      <c r="F100" s="307"/>
      <c r="G100" s="307"/>
      <c r="H100" s="307"/>
      <c r="I100" s="307"/>
      <c r="J100" s="307"/>
      <c r="K100" s="515"/>
      <c r="O100" s="544"/>
      <c r="Q100" s="451"/>
      <c r="R100" s="451"/>
      <c r="S100" s="451"/>
      <c r="T100" s="451"/>
      <c r="U100" s="451"/>
      <c r="V100" s="451"/>
      <c r="W100" s="451"/>
      <c r="X100" s="451"/>
      <c r="Y100" s="451"/>
      <c r="Z100" s="451"/>
      <c r="AA100" s="451"/>
      <c r="AB100" s="451"/>
      <c r="AC100" s="451"/>
    </row>
    <row r="101" spans="1:29" ht="30" customHeight="1" x14ac:dyDescent="0.2">
      <c r="A101" s="1664" t="s">
        <v>122</v>
      </c>
      <c r="B101" s="1665"/>
      <c r="C101" s="1153" t="s">
        <v>161</v>
      </c>
      <c r="D101" s="1638" t="s">
        <v>124</v>
      </c>
      <c r="E101" s="1552" t="s">
        <v>162</v>
      </c>
      <c r="F101" s="1433">
        <v>14.9</v>
      </c>
      <c r="G101" s="1393">
        <v>0.1</v>
      </c>
      <c r="H101" s="1393">
        <v>0.1</v>
      </c>
      <c r="I101" s="1434">
        <v>0.2</v>
      </c>
      <c r="J101" s="1429">
        <v>1.96</v>
      </c>
      <c r="K101" s="1410" t="s">
        <v>839</v>
      </c>
      <c r="L101" s="1508" t="s">
        <v>840</v>
      </c>
      <c r="M101" s="51" t="str">
        <f>F127</f>
        <v>INM 6608 INM 6597 INM 6390</v>
      </c>
      <c r="O101" s="1530" t="s">
        <v>163</v>
      </c>
      <c r="P101" s="374" t="s">
        <v>35</v>
      </c>
      <c r="Q101" s="375" t="s">
        <v>128</v>
      </c>
      <c r="R101" s="376" t="s">
        <v>129</v>
      </c>
      <c r="S101" s="451"/>
      <c r="T101" s="451"/>
      <c r="U101" s="451"/>
      <c r="V101" s="451"/>
      <c r="W101" s="451"/>
      <c r="X101" s="451"/>
      <c r="Y101" s="451"/>
      <c r="Z101" s="451"/>
      <c r="AA101" s="451"/>
      <c r="AB101" s="451"/>
      <c r="AC101" s="451"/>
    </row>
    <row r="102" spans="1:29" ht="30" customHeight="1" x14ac:dyDescent="0.2">
      <c r="A102" s="1666"/>
      <c r="B102" s="1667"/>
      <c r="C102" s="1154" t="s">
        <v>164</v>
      </c>
      <c r="D102" s="1639"/>
      <c r="E102" s="1553"/>
      <c r="F102" s="1399">
        <v>25</v>
      </c>
      <c r="G102" s="1403">
        <v>0.1</v>
      </c>
      <c r="H102" s="1438">
        <v>0</v>
      </c>
      <c r="I102" s="1435">
        <v>0.2</v>
      </c>
      <c r="J102" s="1430">
        <v>1.96</v>
      </c>
      <c r="K102" s="1412" t="s">
        <v>839</v>
      </c>
      <c r="L102" s="1509"/>
      <c r="O102" s="1531"/>
      <c r="P102" s="227">
        <f>MAX(I101:I103)</f>
        <v>0.2</v>
      </c>
      <c r="Q102" s="552">
        <f>MAX(I104:I106)</f>
        <v>1.7</v>
      </c>
      <c r="R102" s="564">
        <f>MAX(I107:I109)</f>
        <v>7.3999999999999996E-2</v>
      </c>
      <c r="S102" s="451"/>
      <c r="T102" s="451"/>
      <c r="U102" s="451"/>
      <c r="V102" s="451"/>
      <c r="W102" s="451"/>
      <c r="X102" s="451"/>
      <c r="Y102" s="451"/>
      <c r="Z102" s="451"/>
      <c r="AA102" s="451"/>
      <c r="AB102" s="451"/>
      <c r="AC102" s="451"/>
    </row>
    <row r="103" spans="1:29" ht="30" customHeight="1" thickBot="1" x14ac:dyDescent="0.25">
      <c r="A103" s="1668"/>
      <c r="B103" s="1669"/>
      <c r="C103" s="1154" t="s">
        <v>165</v>
      </c>
      <c r="D103" s="1639"/>
      <c r="E103" s="1553"/>
      <c r="F103" s="1413">
        <v>34.9</v>
      </c>
      <c r="G103" s="1394">
        <v>0.1</v>
      </c>
      <c r="H103" s="1394">
        <v>0.1</v>
      </c>
      <c r="I103" s="1436">
        <v>0.2</v>
      </c>
      <c r="J103" s="1431">
        <v>1.96</v>
      </c>
      <c r="K103" s="1415" t="s">
        <v>839</v>
      </c>
      <c r="L103" s="1510"/>
      <c r="O103" s="1532"/>
      <c r="P103" s="379"/>
      <c r="Q103" s="380"/>
      <c r="R103" s="381"/>
      <c r="S103" s="451"/>
      <c r="T103" s="451"/>
      <c r="U103" s="451"/>
      <c r="V103" s="451"/>
      <c r="W103" s="451"/>
      <c r="X103" s="451"/>
      <c r="Y103" s="451"/>
      <c r="Z103" s="451"/>
      <c r="AA103" s="451"/>
      <c r="AB103" s="451"/>
      <c r="AC103" s="451"/>
    </row>
    <row r="104" spans="1:29" ht="30" customHeight="1" x14ac:dyDescent="0.2">
      <c r="A104" s="1502" t="s">
        <v>131</v>
      </c>
      <c r="B104" s="1503"/>
      <c r="C104" s="1154" t="s">
        <v>166</v>
      </c>
      <c r="D104" s="1639"/>
      <c r="E104" s="1553"/>
      <c r="F104" s="1408">
        <v>32.9</v>
      </c>
      <c r="G104" s="1393">
        <v>0.1</v>
      </c>
      <c r="H104" s="1393">
        <v>-2.9</v>
      </c>
      <c r="I104" s="1426">
        <v>1.7</v>
      </c>
      <c r="J104" s="1429">
        <v>1.96</v>
      </c>
      <c r="K104" s="1410" t="s">
        <v>836</v>
      </c>
      <c r="L104" s="1508" t="s">
        <v>838</v>
      </c>
      <c r="O104" s="544"/>
      <c r="Q104" s="451"/>
      <c r="R104" s="451"/>
      <c r="S104" s="451"/>
      <c r="T104" s="451"/>
      <c r="U104" s="451"/>
      <c r="V104" s="451"/>
      <c r="W104" s="451"/>
      <c r="X104" s="451"/>
      <c r="Y104" s="451"/>
      <c r="Z104" s="451"/>
      <c r="AA104" s="451"/>
      <c r="AB104" s="451"/>
      <c r="AC104" s="451"/>
    </row>
    <row r="105" spans="1:29" ht="30" customHeight="1" x14ac:dyDescent="0.2">
      <c r="A105" s="1504"/>
      <c r="B105" s="1505"/>
      <c r="C105" s="1154" t="s">
        <v>167</v>
      </c>
      <c r="D105" s="1639"/>
      <c r="E105" s="1553"/>
      <c r="F105" s="1399">
        <v>55.6</v>
      </c>
      <c r="G105" s="1403">
        <v>0.1</v>
      </c>
      <c r="H105" s="1403">
        <v>-0.6</v>
      </c>
      <c r="I105" s="1445">
        <v>1.7</v>
      </c>
      <c r="J105" s="1430">
        <v>1.96</v>
      </c>
      <c r="K105" s="1412" t="s">
        <v>836</v>
      </c>
      <c r="L105" s="1509"/>
      <c r="O105" s="544"/>
      <c r="Q105" s="451"/>
      <c r="R105" s="451"/>
      <c r="S105" s="451"/>
      <c r="T105" s="451"/>
      <c r="U105" s="451"/>
      <c r="V105" s="451"/>
      <c r="W105" s="451"/>
      <c r="X105" s="451"/>
      <c r="Y105" s="451"/>
      <c r="Z105" s="451"/>
      <c r="AA105" s="451"/>
      <c r="AB105" s="451"/>
      <c r="AC105" s="451"/>
    </row>
    <row r="106" spans="1:29" ht="30" customHeight="1" thickBot="1" x14ac:dyDescent="0.25">
      <c r="A106" s="1506"/>
      <c r="B106" s="1507"/>
      <c r="C106" s="1154" t="s">
        <v>168</v>
      </c>
      <c r="D106" s="1639"/>
      <c r="E106" s="1553"/>
      <c r="F106" s="1427">
        <v>79</v>
      </c>
      <c r="G106" s="1428">
        <v>0.1</v>
      </c>
      <c r="H106" s="1428">
        <v>1.9</v>
      </c>
      <c r="I106" s="1446">
        <v>1.7</v>
      </c>
      <c r="J106" s="1431">
        <v>1.96</v>
      </c>
      <c r="K106" s="1415" t="s">
        <v>836</v>
      </c>
      <c r="L106" s="1510"/>
      <c r="O106" s="544"/>
      <c r="Q106" s="451"/>
      <c r="R106" s="451"/>
      <c r="S106" s="451"/>
      <c r="T106" s="451"/>
      <c r="U106" s="451"/>
      <c r="V106" s="451"/>
      <c r="W106" s="451"/>
      <c r="X106" s="451"/>
      <c r="Y106" s="451"/>
      <c r="Z106" s="451"/>
      <c r="AA106" s="451"/>
      <c r="AB106" s="451"/>
      <c r="AC106" s="451"/>
    </row>
    <row r="107" spans="1:29" ht="30" customHeight="1" x14ac:dyDescent="0.2">
      <c r="A107" s="1502" t="s">
        <v>135</v>
      </c>
      <c r="B107" s="1503"/>
      <c r="C107" s="1154" t="s">
        <v>868</v>
      </c>
      <c r="D107" s="1639"/>
      <c r="E107" s="1553"/>
      <c r="F107" s="1397">
        <v>499.80099999999999</v>
      </c>
      <c r="G107" s="1454">
        <v>0.1</v>
      </c>
      <c r="H107" s="1459">
        <v>1.742</v>
      </c>
      <c r="I107" s="1455">
        <v>6.6000000000000003E-2</v>
      </c>
      <c r="J107" s="1408">
        <v>2.04</v>
      </c>
      <c r="K107" s="1410" t="s">
        <v>843</v>
      </c>
      <c r="L107" s="1663" t="s">
        <v>847</v>
      </c>
      <c r="O107" s="544"/>
      <c r="Q107" s="451"/>
      <c r="R107" s="451"/>
      <c r="S107" s="451"/>
      <c r="T107" s="451"/>
      <c r="U107" s="451"/>
      <c r="V107" s="451"/>
      <c r="W107" s="451"/>
      <c r="X107" s="451"/>
      <c r="Y107" s="451"/>
      <c r="Z107" s="451"/>
      <c r="AA107" s="451"/>
      <c r="AB107" s="451"/>
      <c r="AC107" s="451"/>
    </row>
    <row r="108" spans="1:29" ht="30" customHeight="1" x14ac:dyDescent="0.2">
      <c r="A108" s="1504"/>
      <c r="B108" s="1505"/>
      <c r="C108" s="1154" t="s">
        <v>869</v>
      </c>
      <c r="D108" s="1639"/>
      <c r="E108" s="1553"/>
      <c r="F108" s="1398">
        <v>752.29600000000005</v>
      </c>
      <c r="G108" s="1456">
        <v>0.1</v>
      </c>
      <c r="H108" s="1460">
        <v>1.2150000000000001</v>
      </c>
      <c r="I108" s="1411">
        <v>6.8000000000000005E-2</v>
      </c>
      <c r="J108" s="1399">
        <v>2.04</v>
      </c>
      <c r="K108" s="1412" t="s">
        <v>843</v>
      </c>
      <c r="L108" s="1509"/>
      <c r="O108" s="544"/>
      <c r="Q108" s="451"/>
      <c r="R108" s="451"/>
      <c r="S108" s="451"/>
      <c r="T108" s="451"/>
      <c r="U108" s="451"/>
      <c r="V108" s="451"/>
      <c r="W108" s="451"/>
      <c r="X108" s="451"/>
      <c r="Y108" s="451"/>
      <c r="Z108" s="451"/>
      <c r="AA108" s="451"/>
      <c r="AB108" s="451"/>
      <c r="AC108" s="451"/>
    </row>
    <row r="109" spans="1:29" ht="30" customHeight="1" thickBot="1" x14ac:dyDescent="0.25">
      <c r="A109" s="1506"/>
      <c r="B109" s="1507"/>
      <c r="C109" s="1155" t="s">
        <v>870</v>
      </c>
      <c r="D109" s="1640"/>
      <c r="E109" s="1554"/>
      <c r="F109" s="1400" t="s">
        <v>846</v>
      </c>
      <c r="G109" s="1457">
        <v>0.1</v>
      </c>
      <c r="H109" s="1458">
        <v>1.1379999999999999</v>
      </c>
      <c r="I109" s="1414">
        <v>7.3999999999999996E-2</v>
      </c>
      <c r="J109" s="1413">
        <v>2.04</v>
      </c>
      <c r="K109" s="1415" t="s">
        <v>843</v>
      </c>
      <c r="L109" s="1510"/>
      <c r="O109" s="544"/>
      <c r="Q109" s="451"/>
      <c r="R109" s="451"/>
      <c r="S109" s="451"/>
      <c r="T109" s="451"/>
      <c r="U109" s="451"/>
      <c r="V109" s="451"/>
      <c r="W109" s="451"/>
      <c r="X109" s="451"/>
      <c r="Y109" s="451"/>
      <c r="Z109" s="451"/>
      <c r="AA109" s="451"/>
      <c r="AB109" s="451"/>
      <c r="AC109" s="451"/>
    </row>
    <row r="110" spans="1:29" ht="30" customHeight="1" x14ac:dyDescent="0.2">
      <c r="B110" s="560"/>
      <c r="O110" s="544"/>
      <c r="Q110" s="451"/>
      <c r="R110" s="451"/>
      <c r="S110" s="451"/>
      <c r="T110" s="451"/>
      <c r="U110" s="451"/>
      <c r="V110" s="451"/>
      <c r="W110" s="451"/>
      <c r="X110" s="451"/>
      <c r="Y110" s="451"/>
      <c r="Z110" s="451"/>
      <c r="AA110" s="451"/>
      <c r="AB110" s="451"/>
      <c r="AC110" s="451"/>
    </row>
    <row r="111" spans="1:29" ht="30" customHeight="1" thickBot="1" x14ac:dyDescent="0.25">
      <c r="B111" s="560"/>
      <c r="C111" s="546"/>
      <c r="D111" s="561"/>
      <c r="E111" s="50"/>
      <c r="F111" s="307"/>
      <c r="G111" s="307"/>
      <c r="H111" s="307"/>
      <c r="I111" s="307"/>
      <c r="J111" s="307"/>
      <c r="K111" s="515"/>
      <c r="O111" s="544"/>
      <c r="Q111" s="451"/>
      <c r="R111" s="451"/>
      <c r="S111" s="451"/>
      <c r="T111" s="451"/>
      <c r="U111" s="451"/>
      <c r="V111" s="451"/>
      <c r="W111" s="451"/>
      <c r="X111" s="451"/>
      <c r="Y111" s="451"/>
      <c r="Z111" s="451"/>
      <c r="AA111" s="451"/>
      <c r="AB111" s="451"/>
      <c r="AC111" s="451"/>
    </row>
    <row r="112" spans="1:29" ht="30" customHeight="1" x14ac:dyDescent="0.2">
      <c r="A112" s="1502" t="s">
        <v>122</v>
      </c>
      <c r="B112" s="1503"/>
      <c r="C112" s="1153" t="s">
        <v>169</v>
      </c>
      <c r="D112" s="1563" t="s">
        <v>124</v>
      </c>
      <c r="E112" s="1552" t="s">
        <v>170</v>
      </c>
      <c r="F112" s="1408">
        <v>14.9</v>
      </c>
      <c r="G112" s="1393">
        <v>0.1</v>
      </c>
      <c r="H112" s="1385">
        <v>0</v>
      </c>
      <c r="I112" s="1465">
        <v>0.2</v>
      </c>
      <c r="J112" s="1408">
        <v>1.96</v>
      </c>
      <c r="K112" s="1461" t="s">
        <v>849</v>
      </c>
      <c r="L112" s="1525" t="s">
        <v>850</v>
      </c>
      <c r="M112" s="51" t="str">
        <f>F128</f>
        <v>INM 6639 INM 6668 INM 6593</v>
      </c>
      <c r="O112" s="1530" t="s">
        <v>171</v>
      </c>
      <c r="P112" s="374" t="s">
        <v>35</v>
      </c>
      <c r="Q112" s="375" t="s">
        <v>128</v>
      </c>
      <c r="R112" s="376" t="s">
        <v>129</v>
      </c>
      <c r="S112" s="451"/>
      <c r="T112" s="451"/>
      <c r="U112" s="451"/>
      <c r="V112" s="451"/>
      <c r="W112" s="451"/>
      <c r="X112" s="451"/>
      <c r="Y112" s="451"/>
      <c r="Z112" s="451"/>
      <c r="AA112" s="451"/>
      <c r="AB112" s="451"/>
      <c r="AC112" s="451"/>
    </row>
    <row r="113" spans="1:29" ht="30" customHeight="1" x14ac:dyDescent="0.2">
      <c r="A113" s="1504"/>
      <c r="B113" s="1505"/>
      <c r="C113" s="1154" t="s">
        <v>172</v>
      </c>
      <c r="D113" s="1564"/>
      <c r="E113" s="1553"/>
      <c r="F113" s="1466">
        <v>24.9</v>
      </c>
      <c r="G113" s="1403">
        <v>0.1</v>
      </c>
      <c r="H113" s="1438">
        <v>0</v>
      </c>
      <c r="I113" s="1467">
        <v>0.2</v>
      </c>
      <c r="J113" s="1399">
        <v>1.96</v>
      </c>
      <c r="K113" s="1462" t="s">
        <v>849</v>
      </c>
      <c r="L113" s="1526"/>
      <c r="O113" s="1531"/>
      <c r="P113" s="227">
        <f>MAX(I112:I114)</f>
        <v>0.2</v>
      </c>
      <c r="Q113" s="562">
        <f>MAX(I115:I117)</f>
        <v>1.7</v>
      </c>
      <c r="R113" s="563">
        <f>MAX(I118:I120)</f>
        <v>7.1999999999999995E-2</v>
      </c>
      <c r="S113" s="451"/>
      <c r="T113" s="451"/>
      <c r="U113" s="451"/>
      <c r="V113" s="451"/>
      <c r="W113" s="451"/>
      <c r="X113" s="451"/>
      <c r="Y113" s="451"/>
      <c r="Z113" s="451"/>
      <c r="AA113" s="451"/>
      <c r="AB113" s="451"/>
      <c r="AC113" s="451"/>
    </row>
    <row r="114" spans="1:29" ht="30" customHeight="1" thickBot="1" x14ac:dyDescent="0.25">
      <c r="A114" s="1506"/>
      <c r="B114" s="1507"/>
      <c r="C114" s="1154" t="s">
        <v>173</v>
      </c>
      <c r="D114" s="1564"/>
      <c r="E114" s="1553"/>
      <c r="F114" s="1440">
        <v>34.9</v>
      </c>
      <c r="G114" s="1394">
        <v>0.1</v>
      </c>
      <c r="H114" s="1388">
        <v>0</v>
      </c>
      <c r="I114" s="1468">
        <v>0.2</v>
      </c>
      <c r="J114" s="1413">
        <v>1.96</v>
      </c>
      <c r="K114" s="1463" t="s">
        <v>849</v>
      </c>
      <c r="L114" s="1527"/>
      <c r="O114" s="1532"/>
      <c r="P114" s="379"/>
      <c r="Q114" s="380"/>
      <c r="R114" s="381"/>
      <c r="S114" s="451"/>
      <c r="T114" s="451"/>
      <c r="U114" s="451"/>
      <c r="V114" s="451"/>
      <c r="W114" s="451"/>
      <c r="X114" s="451"/>
      <c r="Y114" s="451"/>
      <c r="Z114" s="451"/>
      <c r="AA114" s="451"/>
      <c r="AB114" s="451"/>
      <c r="AC114" s="451"/>
    </row>
    <row r="115" spans="1:29" ht="30" customHeight="1" x14ac:dyDescent="0.2">
      <c r="A115" s="1502" t="s">
        <v>131</v>
      </c>
      <c r="B115" s="1503"/>
      <c r="C115" s="1154" t="s">
        <v>174</v>
      </c>
      <c r="D115" s="1564"/>
      <c r="E115" s="1553"/>
      <c r="F115" s="1408">
        <v>33.299999999999997</v>
      </c>
      <c r="G115" s="1393">
        <v>0.1</v>
      </c>
      <c r="H115" s="1393">
        <v>-3.3</v>
      </c>
      <c r="I115" s="1426">
        <v>1.7</v>
      </c>
      <c r="J115" s="1408">
        <v>1.96</v>
      </c>
      <c r="K115" s="1461" t="s">
        <v>854</v>
      </c>
      <c r="L115" s="1525" t="s">
        <v>855</v>
      </c>
      <c r="O115" s="544"/>
      <c r="Q115" s="451"/>
      <c r="R115" s="451"/>
      <c r="S115" s="451"/>
      <c r="T115" s="451"/>
      <c r="U115" s="451"/>
      <c r="V115" s="451"/>
      <c r="W115" s="451"/>
      <c r="X115" s="451"/>
      <c r="Y115" s="451"/>
      <c r="Z115" s="451"/>
      <c r="AA115" s="451"/>
      <c r="AB115" s="451"/>
      <c r="AC115" s="451"/>
    </row>
    <row r="116" spans="1:29" ht="30" customHeight="1" x14ac:dyDescent="0.2">
      <c r="A116" s="1504"/>
      <c r="B116" s="1505"/>
      <c r="C116" s="1154" t="s">
        <v>175</v>
      </c>
      <c r="D116" s="1564"/>
      <c r="E116" s="1553"/>
      <c r="F116" s="1399">
        <v>56.1</v>
      </c>
      <c r="G116" s="1403">
        <v>0.1</v>
      </c>
      <c r="H116" s="1403">
        <v>-1.1000000000000001</v>
      </c>
      <c r="I116" s="1445">
        <v>1.7</v>
      </c>
      <c r="J116" s="1399">
        <v>1.96</v>
      </c>
      <c r="K116" s="1462" t="s">
        <v>854</v>
      </c>
      <c r="L116" s="1526"/>
      <c r="O116" s="544"/>
      <c r="Q116" s="451"/>
      <c r="R116" s="451"/>
      <c r="S116" s="451"/>
      <c r="T116" s="451"/>
      <c r="U116" s="451"/>
      <c r="V116" s="451"/>
      <c r="W116" s="451"/>
      <c r="X116" s="451"/>
      <c r="Y116" s="451"/>
      <c r="Z116" s="451"/>
      <c r="AA116" s="451"/>
      <c r="AB116" s="451"/>
      <c r="AC116" s="451"/>
    </row>
    <row r="117" spans="1:29" ht="30" customHeight="1" thickBot="1" x14ac:dyDescent="0.25">
      <c r="A117" s="1506"/>
      <c r="B117" s="1507"/>
      <c r="C117" s="1154" t="s">
        <v>176</v>
      </c>
      <c r="D117" s="1564"/>
      <c r="E117" s="1553"/>
      <c r="F117" s="1427">
        <v>82.1</v>
      </c>
      <c r="G117" s="1428">
        <v>0.1</v>
      </c>
      <c r="H117" s="1428">
        <v>-1.2</v>
      </c>
      <c r="I117" s="1446">
        <v>1.7</v>
      </c>
      <c r="J117" s="1413">
        <v>1.96</v>
      </c>
      <c r="K117" s="1463" t="s">
        <v>854</v>
      </c>
      <c r="L117" s="1527"/>
      <c r="O117" s="544"/>
      <c r="Q117" s="451"/>
      <c r="R117" s="451"/>
      <c r="S117" s="451"/>
      <c r="T117" s="451"/>
      <c r="U117" s="451"/>
      <c r="V117" s="451"/>
      <c r="W117" s="451"/>
      <c r="X117" s="451"/>
      <c r="Y117" s="451"/>
      <c r="Z117" s="451"/>
      <c r="AA117" s="451"/>
      <c r="AB117" s="451"/>
      <c r="AC117" s="451"/>
    </row>
    <row r="118" spans="1:29" ht="30" customHeight="1" x14ac:dyDescent="0.2">
      <c r="A118" s="1502" t="s">
        <v>135</v>
      </c>
      <c r="B118" s="1503"/>
      <c r="C118" s="1154" t="s">
        <v>871</v>
      </c>
      <c r="D118" s="1564"/>
      <c r="E118" s="1553"/>
      <c r="F118" s="1397">
        <v>399.84</v>
      </c>
      <c r="G118" s="1393">
        <v>0.1</v>
      </c>
      <c r="H118" s="1393">
        <v>1.6759999999999999</v>
      </c>
      <c r="I118" s="1426">
        <v>6.5000000000000002E-2</v>
      </c>
      <c r="J118" s="1408">
        <v>2.04</v>
      </c>
      <c r="K118" s="1461" t="s">
        <v>843</v>
      </c>
      <c r="L118" s="1525" t="s">
        <v>848</v>
      </c>
      <c r="O118" s="544"/>
      <c r="Q118" s="451"/>
      <c r="R118" s="451"/>
      <c r="S118" s="451"/>
      <c r="T118" s="451"/>
      <c r="U118" s="451"/>
      <c r="V118" s="451"/>
      <c r="W118" s="451"/>
      <c r="X118" s="451"/>
      <c r="Y118" s="451"/>
      <c r="Z118" s="451"/>
      <c r="AA118" s="451"/>
      <c r="AB118" s="451"/>
      <c r="AC118" s="451"/>
    </row>
    <row r="119" spans="1:29" ht="30" customHeight="1" x14ac:dyDescent="0.2">
      <c r="A119" s="1504"/>
      <c r="B119" s="1505"/>
      <c r="C119" s="1154" t="s">
        <v>872</v>
      </c>
      <c r="D119" s="1564"/>
      <c r="E119" s="1553"/>
      <c r="F119" s="1399">
        <v>752.29499999999996</v>
      </c>
      <c r="G119" s="1403">
        <v>0.1</v>
      </c>
      <c r="H119" s="1402">
        <v>0.81399999999999995</v>
      </c>
      <c r="I119" s="1445">
        <v>6.8000000000000005E-2</v>
      </c>
      <c r="J119" s="1399">
        <v>2.04</v>
      </c>
      <c r="K119" s="1462" t="s">
        <v>843</v>
      </c>
      <c r="L119" s="1526" t="s">
        <v>177</v>
      </c>
      <c r="O119" s="451"/>
      <c r="P119" s="451"/>
      <c r="Q119" s="451"/>
      <c r="R119" s="451"/>
      <c r="S119" s="451"/>
      <c r="T119" s="451"/>
      <c r="U119" s="451"/>
      <c r="V119" s="451"/>
      <c r="W119" s="451"/>
      <c r="X119" s="451"/>
      <c r="Y119" s="451"/>
      <c r="Z119" s="451"/>
      <c r="AA119" s="451"/>
      <c r="AB119" s="451"/>
      <c r="AC119" s="451"/>
    </row>
    <row r="120" spans="1:29" ht="30.75" thickBot="1" x14ac:dyDescent="0.25">
      <c r="A120" s="1506"/>
      <c r="B120" s="1507"/>
      <c r="C120" s="1155" t="s">
        <v>873</v>
      </c>
      <c r="D120" s="1565"/>
      <c r="E120" s="1554"/>
      <c r="F120" s="1400">
        <v>999.72299999999996</v>
      </c>
      <c r="G120" s="1394">
        <v>0.1</v>
      </c>
      <c r="H120" s="1394">
        <v>0.54900000000000004</v>
      </c>
      <c r="I120" s="1464">
        <v>7.1999999999999995E-2</v>
      </c>
      <c r="J120" s="1413">
        <v>2.04</v>
      </c>
      <c r="K120" s="1463" t="s">
        <v>843</v>
      </c>
      <c r="L120" s="1527"/>
      <c r="O120" s="451"/>
      <c r="P120" s="451"/>
      <c r="Q120" s="451"/>
      <c r="R120" s="451"/>
      <c r="S120" s="451"/>
      <c r="T120" s="451"/>
      <c r="U120" s="451"/>
      <c r="V120" s="451"/>
      <c r="W120" s="451"/>
      <c r="X120" s="451"/>
      <c r="Y120" s="451"/>
      <c r="Z120" s="451"/>
      <c r="AA120" s="451"/>
      <c r="AB120" s="451"/>
      <c r="AC120" s="451"/>
    </row>
    <row r="121" spans="1:29" ht="30" customHeight="1" thickBot="1" x14ac:dyDescent="0.25">
      <c r="A121" s="565"/>
      <c r="B121" s="510"/>
      <c r="C121" s="50"/>
      <c r="D121" s="433"/>
      <c r="E121" s="566"/>
      <c r="F121" s="205"/>
      <c r="G121" s="205"/>
      <c r="H121" s="206"/>
      <c r="I121" s="207"/>
      <c r="J121" s="307"/>
      <c r="K121" s="208"/>
      <c r="L121" s="207"/>
      <c r="O121" s="451"/>
      <c r="P121" s="451"/>
      <c r="Q121" s="451"/>
      <c r="R121" s="451"/>
      <c r="S121" s="451"/>
      <c r="T121" s="451"/>
      <c r="U121" s="451"/>
      <c r="V121" s="451"/>
      <c r="W121" s="451"/>
      <c r="X121" s="451"/>
      <c r="Y121" s="451"/>
      <c r="Z121" s="451"/>
      <c r="AA121" s="451"/>
      <c r="AB121" s="451"/>
      <c r="AC121" s="451"/>
    </row>
    <row r="122" spans="1:29" ht="32.25" thickBot="1" x14ac:dyDescent="0.25">
      <c r="A122" s="565"/>
      <c r="B122" s="422" t="s">
        <v>121</v>
      </c>
      <c r="C122" s="601" t="str">
        <f>D131</f>
        <v>Fabricante</v>
      </c>
      <c r="D122" s="185" t="str">
        <f>E36</f>
        <v>Identificación / Serie</v>
      </c>
      <c r="E122" s="185">
        <f>S66</f>
        <v>0</v>
      </c>
      <c r="F122" s="185">
        <f>T66</f>
        <v>0</v>
      </c>
      <c r="G122" s="185" t="s">
        <v>35</v>
      </c>
      <c r="H122" s="185" t="s">
        <v>178</v>
      </c>
      <c r="I122" s="185" t="s">
        <v>129</v>
      </c>
      <c r="J122" s="185" t="s">
        <v>78</v>
      </c>
      <c r="K122" s="185" t="s">
        <v>79</v>
      </c>
      <c r="L122" s="185" t="s">
        <v>179</v>
      </c>
      <c r="M122" s="185" t="s">
        <v>180</v>
      </c>
      <c r="N122" s="185" t="s">
        <v>181</v>
      </c>
      <c r="O122" s="276" t="s">
        <v>182</v>
      </c>
      <c r="Q122" s="451"/>
      <c r="R122" s="451"/>
      <c r="S122" s="451"/>
      <c r="T122" s="451"/>
      <c r="U122" s="451"/>
      <c r="V122" s="451"/>
      <c r="W122" s="451"/>
      <c r="X122" s="451"/>
      <c r="Y122" s="451"/>
      <c r="Z122" s="451"/>
      <c r="AA122" s="451"/>
      <c r="AB122" s="451"/>
      <c r="AC122" s="451"/>
    </row>
    <row r="123" spans="1:29" ht="30" customHeight="1" thickBot="1" x14ac:dyDescent="0.25">
      <c r="A123" s="565"/>
      <c r="B123" s="567"/>
      <c r="C123" s="568"/>
      <c r="D123" s="568"/>
      <c r="E123" s="568"/>
      <c r="F123" s="568"/>
      <c r="G123" s="568"/>
      <c r="H123" s="568"/>
      <c r="I123" s="568"/>
      <c r="J123" s="568"/>
      <c r="K123" s="568"/>
      <c r="L123" s="568"/>
      <c r="M123" s="568"/>
      <c r="N123" s="568"/>
      <c r="O123" s="569"/>
      <c r="Q123" s="451"/>
      <c r="R123" s="451"/>
      <c r="S123" s="451"/>
      <c r="T123" s="451"/>
      <c r="U123" s="451"/>
      <c r="V123" s="451"/>
      <c r="W123" s="451"/>
      <c r="X123" s="451"/>
      <c r="Y123" s="451"/>
      <c r="Z123" s="451"/>
      <c r="AA123" s="451"/>
      <c r="AB123" s="451"/>
      <c r="AC123" s="451"/>
    </row>
    <row r="124" spans="1:29" ht="54.75" customHeight="1" x14ac:dyDescent="0.2">
      <c r="A124" s="565"/>
      <c r="B124" s="382" t="str">
        <f>O69</f>
        <v>V-002</v>
      </c>
      <c r="C124" s="374" t="str">
        <f>D68</f>
        <v>Lufft</v>
      </c>
      <c r="D124" s="383" t="str">
        <f>E68</f>
        <v>0,23.0714.0802.024 C-I V-002</v>
      </c>
      <c r="E124" s="384" t="str">
        <f>K68&amp;" "&amp;K71&amp;" "&amp;K74</f>
        <v>2023-04-24 2023-05-08 2023-03-28</v>
      </c>
      <c r="F124" s="374" t="str">
        <f>L68&amp;" "&amp;L71&amp;" "&amp;L74</f>
        <v>INM 6638 INM 6667 INM 6588</v>
      </c>
      <c r="G124" s="374">
        <f>P70</f>
        <v>0.2</v>
      </c>
      <c r="H124" s="374">
        <f>Q70</f>
        <v>1.7</v>
      </c>
      <c r="I124" s="385">
        <f>R70</f>
        <v>7.0999999999999994E-2</v>
      </c>
      <c r="J124" s="386">
        <f>SLOPE(H68:H70,F68:F70)</f>
        <v>1.666666666666667E-2</v>
      </c>
      <c r="K124" s="387">
        <f>INTERCEPT(H68:H70,F68:F70)</f>
        <v>-0.46833333333333338</v>
      </c>
      <c r="L124" s="387">
        <f>SLOPE(H71:H73,F71:F73)</f>
        <v>0.11866584239707899</v>
      </c>
      <c r="M124" s="387">
        <f>INTERCEPT(H71:H73,F71:F73)</f>
        <v>-7.2334205899967152</v>
      </c>
      <c r="N124" s="387">
        <f>SLOPE(H74:H76,F74:F76)</f>
        <v>-2.0270775942858531E-3</v>
      </c>
      <c r="O124" s="388">
        <f>INTERCEPT(H74:H76,F74:F76)</f>
        <v>2.6545265831478346</v>
      </c>
      <c r="Q124" s="451"/>
      <c r="R124" s="451"/>
      <c r="S124" s="451"/>
      <c r="T124" s="451"/>
      <c r="U124" s="451"/>
      <c r="V124" s="451"/>
      <c r="W124" s="451"/>
      <c r="X124" s="451"/>
      <c r="Y124" s="451"/>
      <c r="Z124" s="451"/>
      <c r="AA124" s="451"/>
      <c r="AB124" s="451"/>
      <c r="AC124" s="451"/>
    </row>
    <row r="125" spans="1:29" ht="56.25" customHeight="1" x14ac:dyDescent="0.2">
      <c r="A125" s="565"/>
      <c r="B125" s="389" t="str">
        <f>O79</f>
        <v xml:space="preserve">M-010 </v>
      </c>
      <c r="C125" s="377" t="str">
        <f>D79</f>
        <v>Lufft</v>
      </c>
      <c r="D125" s="390" t="str">
        <f>E79</f>
        <v>0,26.0714.0802.024 C-I M-010</v>
      </c>
      <c r="E125" s="391" t="str">
        <f>K79&amp;" "&amp;K82&amp;" "&amp;K85</f>
        <v>2023-04-05 2023-04-03 2023-03-28</v>
      </c>
      <c r="F125" s="377" t="str">
        <f>L79&amp;" "&amp;L82&amp;" "&amp;L85</f>
        <v>INM 6603 INM 6596 INM 6591</v>
      </c>
      <c r="G125" s="227">
        <f>P80</f>
        <v>0.2</v>
      </c>
      <c r="H125" s="227">
        <f>Q80</f>
        <v>1.7</v>
      </c>
      <c r="I125" s="416">
        <f>R80</f>
        <v>7.1999999999999995E-2</v>
      </c>
      <c r="J125" s="570">
        <f>SLOPE(H79:H81,F79:F81)</f>
        <v>-3.7023324694558115E-4</v>
      </c>
      <c r="K125" s="570">
        <f>INTERCEPT(H79:H81,F79:F81)</f>
        <v>-2.5546094039244609E-2</v>
      </c>
      <c r="L125" s="570">
        <f>SLOPE(H82:H84,F82:F84)</f>
        <v>0.13619031169452342</v>
      </c>
      <c r="M125" s="570">
        <f>INTERCEPT(H82:H84,F82:F84)</f>
        <v>-8.2509114341136769</v>
      </c>
      <c r="N125" s="570">
        <f>SLOPE(H85:H87,F85:F87)</f>
        <v>-1.6281121481284658E-3</v>
      </c>
      <c r="O125" s="571">
        <f>INTERCEPT(H85:H87,F85:F87)</f>
        <v>2.3349170926516285</v>
      </c>
      <c r="Q125" s="451"/>
      <c r="R125" s="451"/>
      <c r="S125" s="451"/>
      <c r="T125" s="451"/>
      <c r="U125" s="451"/>
      <c r="V125" s="451"/>
      <c r="W125" s="451"/>
      <c r="X125" s="451"/>
      <c r="Y125" s="451"/>
      <c r="Z125" s="451"/>
      <c r="AA125" s="451"/>
      <c r="AB125" s="451"/>
      <c r="AC125" s="451"/>
    </row>
    <row r="126" spans="1:29" ht="58.5" customHeight="1" x14ac:dyDescent="0.2">
      <c r="A126" s="565"/>
      <c r="B126" s="389" t="str">
        <f>O90</f>
        <v xml:space="preserve">M-011  </v>
      </c>
      <c r="C126" s="377" t="str">
        <f>D90</f>
        <v>Lufft</v>
      </c>
      <c r="D126" s="390" t="str">
        <f>E90</f>
        <v>0,22.0714.0802.024 C-I M-011</v>
      </c>
      <c r="E126" s="391" t="str">
        <f>K90&amp;" "&amp;K93&amp;" "&amp;K96</f>
        <v>2022-05-23 2021-05-17 2021-05-31</v>
      </c>
      <c r="F126" s="377" t="str">
        <f>L90&amp;" "&amp;L93&amp;" "&amp;L96</f>
        <v>INM 5912 INM 5913 INM 5239</v>
      </c>
      <c r="G126" s="416">
        <f>P91</f>
        <v>0.4</v>
      </c>
      <c r="H126" s="416">
        <f>Q91</f>
        <v>1.7</v>
      </c>
      <c r="I126" s="416">
        <f>R91</f>
        <v>8.7999999999999995E-2</v>
      </c>
      <c r="J126" s="570">
        <f>SLOPE(H90:H92,F90:F92)</f>
        <v>1.0385688090358568E-2</v>
      </c>
      <c r="K126" s="570">
        <f>INTERCEPT(H92:H94,F92:F94)</f>
        <v>-4.3148687700407766</v>
      </c>
      <c r="L126" s="570">
        <f>SLOPE(H92:H94,F92:F94)</f>
        <v>6.9019437076917045E-2</v>
      </c>
      <c r="M126" s="570">
        <f>INTERCEPT(H93:H95,F93:F95)</f>
        <v>-7.892739062373483</v>
      </c>
      <c r="N126" s="570">
        <f>SLOPE(H96:H98,F96:F98)</f>
        <v>-2.0810757363394542E-3</v>
      </c>
      <c r="O126" s="571">
        <f>INTERCEPT(H96:H98,F96:F98)</f>
        <v>2.6117362023027515</v>
      </c>
      <c r="Q126" s="451"/>
      <c r="R126" s="451"/>
      <c r="S126" s="451"/>
      <c r="T126" s="451"/>
      <c r="U126" s="451"/>
      <c r="V126" s="451"/>
      <c r="W126" s="451"/>
      <c r="X126" s="451"/>
      <c r="Y126" s="451"/>
      <c r="Z126" s="451"/>
      <c r="AA126" s="451"/>
      <c r="AB126" s="451"/>
      <c r="AC126" s="451"/>
    </row>
    <row r="127" spans="1:29" ht="51" customHeight="1" x14ac:dyDescent="0.2">
      <c r="A127" s="565"/>
      <c r="B127" s="389" t="str">
        <f>O101</f>
        <v>M-012</v>
      </c>
      <c r="C127" s="377" t="str">
        <f>D101</f>
        <v>Lufft</v>
      </c>
      <c r="D127" s="390" t="str">
        <f>E101</f>
        <v>19506160802033 C-I M-012</v>
      </c>
      <c r="E127" s="391" t="str">
        <f>K101&amp;" "&amp;K104&amp;" "&amp;K107</f>
        <v>2023-04-11 2023-04-03 2023-03-28</v>
      </c>
      <c r="F127" s="377" t="str">
        <f>L101&amp;" "&amp;L104&amp;" "&amp;L107</f>
        <v>INM 6608 INM 6597 INM 6390</v>
      </c>
      <c r="G127" s="416">
        <f>P102</f>
        <v>0.2</v>
      </c>
      <c r="H127" s="416">
        <f>Q102</f>
        <v>1.7</v>
      </c>
      <c r="I127" s="416">
        <f>R102</f>
        <v>7.3999999999999996E-2</v>
      </c>
      <c r="J127" s="570">
        <f>SLOPE(H101:H103,F101:F103)</f>
        <v>-3.3332222259257967E-5</v>
      </c>
      <c r="K127" s="570">
        <f>INTERCEPT(H101:H103,F101:F103)</f>
        <v>6.7497750074997503E-2</v>
      </c>
      <c r="L127" s="570">
        <f>SLOPE(H104:H106,F104:F106)</f>
        <v>0.1041354303243979</v>
      </c>
      <c r="M127" s="570">
        <f>INTERCEPT(H104:H106,F104:F106)</f>
        <v>-6.3475615264455492</v>
      </c>
      <c r="N127" s="570">
        <f>SLOPE(H107:H109,F107:F109)</f>
        <v>-2.0871700429711468E-3</v>
      </c>
      <c r="O127" s="571">
        <f>INTERCEPT(H107:H109,F107:F109)</f>
        <v>2.7851696746470216</v>
      </c>
      <c r="Q127" s="451"/>
      <c r="R127" s="451"/>
      <c r="S127" s="451"/>
      <c r="T127" s="451"/>
      <c r="U127" s="451"/>
      <c r="V127" s="451"/>
      <c r="W127" s="451"/>
      <c r="X127" s="451"/>
      <c r="Y127" s="451"/>
      <c r="Z127" s="451"/>
      <c r="AA127" s="451"/>
      <c r="AB127" s="451"/>
      <c r="AC127" s="451"/>
    </row>
    <row r="128" spans="1:29" ht="69" customHeight="1" thickBot="1" x14ac:dyDescent="0.25">
      <c r="A128" s="565"/>
      <c r="B128" s="392" t="str">
        <f>O112</f>
        <v>M-013</v>
      </c>
      <c r="C128" s="393" t="str">
        <f>D112</f>
        <v>Lufft</v>
      </c>
      <c r="D128" s="394" t="str">
        <f>E112</f>
        <v>19406160802033 C-I M-013</v>
      </c>
      <c r="E128" s="395" t="str">
        <f>K112&amp;" "&amp;K115&amp;" "&amp;K118</f>
        <v>2023-04-24 2023-05-08 2023-03-28</v>
      </c>
      <c r="F128" s="393" t="str">
        <f>L112&amp;" "&amp;L115&amp;" "&amp;L118</f>
        <v>INM 6639 INM 6668 INM 6593</v>
      </c>
      <c r="G128" s="572">
        <f>P113</f>
        <v>0.2</v>
      </c>
      <c r="H128" s="572">
        <f>Q113</f>
        <v>1.7</v>
      </c>
      <c r="I128" s="572">
        <f>R113</f>
        <v>7.1999999999999995E-2</v>
      </c>
      <c r="J128" s="573">
        <f>SLOPE(H112:H114,F112:F114)</f>
        <v>0</v>
      </c>
      <c r="K128" s="573">
        <f>INTERCEPT(H112:H114,F112:F114)</f>
        <v>0</v>
      </c>
      <c r="L128" s="573">
        <f>SLOPE(H115:H117,F115:F117)</f>
        <v>4.1942481438411318E-2</v>
      </c>
      <c r="M128" s="573">
        <f>INTERCEPT(H115:H117,F115:F117)</f>
        <v>-4.2643785222291806</v>
      </c>
      <c r="N128" s="573">
        <f>SLOPE(H118:H120,F118:F120)</f>
        <v>-1.9171899010460003E-3</v>
      </c>
      <c r="O128" s="574">
        <f>INTERCEPT(H118:H120,F118:F120)</f>
        <v>2.3881734753616817</v>
      </c>
      <c r="Q128" s="451"/>
      <c r="R128" s="451"/>
      <c r="S128" s="451"/>
      <c r="T128" s="451"/>
      <c r="U128" s="451"/>
      <c r="V128" s="451"/>
      <c r="W128" s="451"/>
      <c r="X128" s="451"/>
      <c r="Y128" s="451"/>
      <c r="Z128" s="451"/>
      <c r="AA128" s="451"/>
      <c r="AB128" s="451"/>
      <c r="AC128" s="451"/>
    </row>
    <row r="129" spans="1:35" ht="30" customHeight="1" thickBot="1" x14ac:dyDescent="0.25">
      <c r="A129" s="480"/>
      <c r="K129" s="432"/>
      <c r="O129" s="451"/>
      <c r="W129" s="451"/>
      <c r="X129" s="451"/>
      <c r="Y129" s="451"/>
      <c r="Z129" s="451"/>
      <c r="AA129" s="451"/>
      <c r="AB129" s="451"/>
      <c r="AC129" s="451"/>
    </row>
    <row r="130" spans="1:35" ht="30" customHeight="1" thickBot="1" x14ac:dyDescent="0.25">
      <c r="A130" s="480"/>
      <c r="B130" s="1494" t="s">
        <v>183</v>
      </c>
      <c r="C130" s="1495"/>
      <c r="D130" s="1528"/>
      <c r="E130" s="1528"/>
      <c r="F130" s="1528"/>
      <c r="G130" s="1528"/>
      <c r="H130" s="1528"/>
      <c r="I130" s="1528"/>
      <c r="J130" s="1528"/>
      <c r="K130" s="1528"/>
      <c r="L130" s="1528"/>
      <c r="M130" s="1528"/>
      <c r="N130" s="1528"/>
      <c r="O130" s="1528"/>
      <c r="P130" s="1528"/>
      <c r="Q130" s="1528"/>
      <c r="R130" s="1528"/>
      <c r="S130" s="1528"/>
      <c r="T130" s="1528"/>
      <c r="U130" s="1528"/>
      <c r="V130" s="1528"/>
      <c r="W130" s="1529"/>
      <c r="X130" s="451"/>
      <c r="Y130" s="451"/>
      <c r="Z130" s="451"/>
      <c r="AA130" s="451"/>
      <c r="AB130" s="451"/>
      <c r="AC130" s="451"/>
    </row>
    <row r="131" spans="1:35" ht="60" customHeight="1" thickBot="1" x14ac:dyDescent="0.25">
      <c r="A131" s="480"/>
      <c r="B131" s="1539" t="s">
        <v>184</v>
      </c>
      <c r="C131" s="575"/>
      <c r="D131" s="576" t="s">
        <v>24</v>
      </c>
      <c r="E131" s="577" t="s">
        <v>66</v>
      </c>
      <c r="F131" s="1432" t="s">
        <v>77</v>
      </c>
      <c r="G131" s="577" t="s">
        <v>68</v>
      </c>
      <c r="H131" s="577" t="s">
        <v>69</v>
      </c>
      <c r="I131" s="577" t="s">
        <v>70</v>
      </c>
      <c r="J131" s="577" t="s">
        <v>71</v>
      </c>
      <c r="K131" s="578" t="s">
        <v>6</v>
      </c>
      <c r="L131" s="577" t="s">
        <v>185</v>
      </c>
      <c r="M131" s="577" t="s">
        <v>186</v>
      </c>
      <c r="N131" s="577" t="s">
        <v>187</v>
      </c>
      <c r="O131" s="577" t="s">
        <v>188</v>
      </c>
      <c r="P131" s="579" t="s">
        <v>75</v>
      </c>
      <c r="Q131" s="577" t="s">
        <v>189</v>
      </c>
      <c r="R131" s="577" t="s">
        <v>190</v>
      </c>
      <c r="S131" s="579" t="s">
        <v>75</v>
      </c>
      <c r="T131" s="577" t="s">
        <v>191</v>
      </c>
      <c r="U131" s="577" t="s">
        <v>192</v>
      </c>
      <c r="V131" s="579" t="s">
        <v>75</v>
      </c>
      <c r="W131" s="580" t="s">
        <v>193</v>
      </c>
      <c r="X131" s="451"/>
      <c r="Y131" s="451"/>
      <c r="Z131" s="451"/>
      <c r="AA131" s="451"/>
      <c r="AB131" s="451"/>
      <c r="AC131" s="1494" t="s">
        <v>194</v>
      </c>
      <c r="AD131" s="1495"/>
      <c r="AE131" s="1495"/>
      <c r="AF131" s="1496"/>
      <c r="AG131" s="451"/>
      <c r="AH131" s="1533" t="s">
        <v>195</v>
      </c>
      <c r="AI131" s="1534"/>
    </row>
    <row r="132" spans="1:35" ht="30" customHeight="1" thickBot="1" x14ac:dyDescent="0.25">
      <c r="A132" s="480"/>
      <c r="B132" s="1540"/>
      <c r="C132" s="575"/>
      <c r="D132" s="496"/>
      <c r="E132" s="497"/>
      <c r="F132" s="497"/>
      <c r="G132" s="497"/>
      <c r="H132" s="497"/>
      <c r="I132" s="497"/>
      <c r="J132" s="497"/>
      <c r="K132" s="629"/>
      <c r="L132" s="629"/>
      <c r="M132" s="629"/>
      <c r="N132" s="496"/>
      <c r="O132" s="582"/>
      <c r="P132" s="496"/>
      <c r="Q132" s="496"/>
      <c r="R132" s="496"/>
      <c r="S132" s="496"/>
      <c r="T132" s="497"/>
      <c r="U132" s="497"/>
      <c r="V132" s="497"/>
      <c r="W132" s="499"/>
      <c r="AA132" s="451"/>
      <c r="AB132" s="451"/>
      <c r="AC132" s="1535" t="s">
        <v>196</v>
      </c>
      <c r="AD132" s="1536"/>
      <c r="AE132" s="1536"/>
      <c r="AF132" s="1537"/>
      <c r="AG132" s="451"/>
      <c r="AH132" s="1173"/>
      <c r="AI132" s="1174"/>
    </row>
    <row r="133" spans="1:35" ht="33.950000000000003" customHeight="1" thickBot="1" x14ac:dyDescent="0.25">
      <c r="A133" s="480"/>
      <c r="B133" s="1541"/>
      <c r="C133" s="526" t="s">
        <v>197</v>
      </c>
      <c r="D133" s="251" t="s">
        <v>198</v>
      </c>
      <c r="E133" s="251">
        <v>5295</v>
      </c>
      <c r="F133" s="251">
        <v>5</v>
      </c>
      <c r="G133" s="251">
        <v>0.05</v>
      </c>
      <c r="H133" s="251">
        <v>5.4999999999999997E-3</v>
      </c>
      <c r="I133" s="251">
        <v>2.0999999999999999E-3</v>
      </c>
      <c r="J133" s="251">
        <v>2</v>
      </c>
      <c r="K133" s="603">
        <v>44469</v>
      </c>
      <c r="L133" s="251" t="s">
        <v>199</v>
      </c>
      <c r="M133" s="251" t="s">
        <v>200</v>
      </c>
      <c r="N133" s="385">
        <v>4.4999999999999997E-3</v>
      </c>
      <c r="O133" s="374">
        <v>4.4999999999999997E-3</v>
      </c>
      <c r="P133" s="385">
        <f>ABS(N133-O133)</f>
        <v>0</v>
      </c>
      <c r="Q133" s="374">
        <v>-6.0000000000000001E-3</v>
      </c>
      <c r="R133" s="374">
        <v>-6.0000000000000001E-3</v>
      </c>
      <c r="S133" s="584">
        <f>ABS(Q133-R133)</f>
        <v>0</v>
      </c>
      <c r="T133" s="374">
        <v>-5.4999999999999997E-3</v>
      </c>
      <c r="U133" s="374">
        <v>-5.4999999999999997E-3</v>
      </c>
      <c r="V133" s="584">
        <f>ABS(T133-U133)</f>
        <v>0</v>
      </c>
      <c r="W133" s="585">
        <f>MAX(V133,S133,P133)</f>
        <v>0</v>
      </c>
      <c r="AA133" s="451"/>
      <c r="AB133" s="451"/>
      <c r="AC133" s="1172" t="s">
        <v>2</v>
      </c>
      <c r="AD133" s="989" t="s">
        <v>201</v>
      </c>
      <c r="AE133" s="1159" t="s">
        <v>202</v>
      </c>
      <c r="AF133" s="1160" t="s">
        <v>203</v>
      </c>
      <c r="AG133" s="451"/>
      <c r="AH133" s="422" t="s">
        <v>204</v>
      </c>
      <c r="AI133" s="276" t="s">
        <v>205</v>
      </c>
    </row>
    <row r="134" spans="1:35" ht="33.950000000000003" customHeight="1" x14ac:dyDescent="0.2">
      <c r="A134" s="480"/>
      <c r="B134" s="1541"/>
      <c r="C134" s="529" t="s">
        <v>206</v>
      </c>
      <c r="D134" s="254" t="s">
        <v>198</v>
      </c>
      <c r="E134" s="254">
        <v>27760</v>
      </c>
      <c r="F134" s="254">
        <v>5.032</v>
      </c>
      <c r="G134" s="254">
        <v>0.05</v>
      </c>
      <c r="H134" s="254">
        <v>-3.2000000000000001E-2</v>
      </c>
      <c r="I134" s="254">
        <v>1.0999999999999999E-2</v>
      </c>
      <c r="J134" s="423">
        <v>2.0299999999999998</v>
      </c>
      <c r="K134" s="583">
        <v>44631</v>
      </c>
      <c r="L134" s="586" t="s">
        <v>207</v>
      </c>
      <c r="M134" s="254" t="s">
        <v>208</v>
      </c>
      <c r="N134" s="587">
        <v>1.006</v>
      </c>
      <c r="O134" s="587">
        <v>1.006</v>
      </c>
      <c r="P134" s="587">
        <f>ABS(N134-O134)</f>
        <v>0</v>
      </c>
      <c r="Q134" s="377">
        <v>3.0169999999999999</v>
      </c>
      <c r="R134" s="377">
        <v>3.0169999999999999</v>
      </c>
      <c r="S134" s="588">
        <f>ABS(Q134-R134)</f>
        <v>0</v>
      </c>
      <c r="T134" s="377">
        <v>5.032</v>
      </c>
      <c r="U134" s="377">
        <v>5.0199999999999996</v>
      </c>
      <c r="V134" s="588">
        <f>ABS(T134-U134)</f>
        <v>1.2000000000000455E-2</v>
      </c>
      <c r="W134" s="589">
        <f>MAX(V134,S134,P134)</f>
        <v>1.2000000000000455E-2</v>
      </c>
      <c r="AA134" s="451"/>
      <c r="AB134" s="451"/>
      <c r="AC134" s="590"/>
      <c r="AD134" s="591"/>
      <c r="AE134" s="591"/>
      <c r="AF134" s="592"/>
      <c r="AG134" s="451"/>
      <c r="AH134" s="593" t="s">
        <v>209</v>
      </c>
      <c r="AI134" s="594"/>
    </row>
    <row r="135" spans="1:35" ht="33.950000000000003" customHeight="1" x14ac:dyDescent="0.2">
      <c r="A135" s="480"/>
      <c r="B135" s="1541"/>
      <c r="C135" s="529" t="s">
        <v>210</v>
      </c>
      <c r="D135" s="254" t="s">
        <v>198</v>
      </c>
      <c r="E135" s="254">
        <v>5293</v>
      </c>
      <c r="F135" s="254">
        <v>9.98</v>
      </c>
      <c r="G135" s="254">
        <v>0.1</v>
      </c>
      <c r="H135" s="254">
        <v>1.4E-2</v>
      </c>
      <c r="I135" s="254">
        <v>1.6000000000000001E-3</v>
      </c>
      <c r="J135" s="254">
        <v>2</v>
      </c>
      <c r="K135" s="583">
        <v>44469</v>
      </c>
      <c r="L135" s="586" t="s">
        <v>211</v>
      </c>
      <c r="M135" s="254" t="s">
        <v>212</v>
      </c>
      <c r="N135" s="587">
        <v>-1.8E-3</v>
      </c>
      <c r="O135" s="377">
        <v>-1.8E-3</v>
      </c>
      <c r="P135" s="587">
        <f>ABS(N135-O135)</f>
        <v>0</v>
      </c>
      <c r="Q135" s="377">
        <v>-1.8E-3</v>
      </c>
      <c r="R135" s="377">
        <v>-1.8E-3</v>
      </c>
      <c r="S135" s="588">
        <f>ABS(Q135-R135)</f>
        <v>0</v>
      </c>
      <c r="T135" s="377">
        <v>-1.41E-2</v>
      </c>
      <c r="U135" s="377">
        <v>-1.41E-2</v>
      </c>
      <c r="V135" s="588">
        <f>ABS(T135-U135)</f>
        <v>0</v>
      </c>
      <c r="W135" s="589">
        <f>MAX(V135,S135,P135)</f>
        <v>0</v>
      </c>
      <c r="AA135" s="451"/>
      <c r="AB135" s="451"/>
      <c r="AC135" s="529" t="s">
        <v>213</v>
      </c>
      <c r="AD135" s="254">
        <v>0.25</v>
      </c>
      <c r="AE135" s="254">
        <v>80</v>
      </c>
      <c r="AF135" s="595">
        <f>AF136/2</f>
        <v>4.0967649999999995</v>
      </c>
      <c r="AG135" s="451"/>
      <c r="AH135" s="529">
        <v>316</v>
      </c>
      <c r="AI135" s="594">
        <v>4.7700000000000001E-5</v>
      </c>
    </row>
    <row r="136" spans="1:35" ht="33.950000000000003" customHeight="1" x14ac:dyDescent="0.2">
      <c r="A136" s="480"/>
      <c r="B136" s="1541"/>
      <c r="C136" s="529" t="s">
        <v>214</v>
      </c>
      <c r="D136" s="254" t="s">
        <v>198</v>
      </c>
      <c r="E136" s="254">
        <v>27761</v>
      </c>
      <c r="F136" s="254">
        <v>10.048999999999999</v>
      </c>
      <c r="G136" s="254">
        <v>0.1</v>
      </c>
      <c r="H136" s="254">
        <v>4.9000000000000002E-2</v>
      </c>
      <c r="I136" s="254">
        <v>2.1000000000000001E-2</v>
      </c>
      <c r="J136" s="194">
        <v>2.02</v>
      </c>
      <c r="K136" s="583">
        <v>44693</v>
      </c>
      <c r="L136" s="586" t="s">
        <v>215</v>
      </c>
      <c r="M136" s="254" t="s">
        <v>216</v>
      </c>
      <c r="N136" s="587">
        <v>1.004</v>
      </c>
      <c r="O136" s="416">
        <v>1</v>
      </c>
      <c r="P136" s="587">
        <f>ABS(N136-O136)</f>
        <v>4.0000000000000036E-3</v>
      </c>
      <c r="Q136" s="377">
        <v>5.0309999999999997</v>
      </c>
      <c r="R136" s="377">
        <v>5.01</v>
      </c>
      <c r="S136" s="588">
        <f>ABS(Q136-R136)</f>
        <v>2.0999999999999908E-2</v>
      </c>
      <c r="T136" s="377">
        <v>10.048999999999999</v>
      </c>
      <c r="U136" s="377">
        <v>10.02</v>
      </c>
      <c r="V136" s="588">
        <f>ABS(T136-U136)</f>
        <v>2.8999999999999915E-2</v>
      </c>
      <c r="W136" s="589">
        <f>MAX(V136,S136,P136)</f>
        <v>2.8999999999999915E-2</v>
      </c>
      <c r="AA136" s="451"/>
      <c r="AB136" s="451"/>
      <c r="AC136" s="529" t="s">
        <v>217</v>
      </c>
      <c r="AD136" s="254">
        <v>0.5</v>
      </c>
      <c r="AE136" s="254">
        <v>40</v>
      </c>
      <c r="AF136" s="595">
        <f>AF137/2</f>
        <v>8.1935299999999991</v>
      </c>
      <c r="AG136" s="451"/>
      <c r="AH136" s="529">
        <v>304</v>
      </c>
      <c r="AI136" s="594">
        <v>5.1799999999999999E-5</v>
      </c>
    </row>
    <row r="137" spans="1:35" ht="33.950000000000003" customHeight="1" thickBot="1" x14ac:dyDescent="0.25">
      <c r="A137" s="480"/>
      <c r="B137" s="1542"/>
      <c r="C137" s="532" t="s">
        <v>218</v>
      </c>
      <c r="D137" s="257" t="s">
        <v>198</v>
      </c>
      <c r="E137" s="257">
        <v>27762</v>
      </c>
      <c r="F137" s="257">
        <v>25.085999999999999</v>
      </c>
      <c r="G137" s="257">
        <v>0.1</v>
      </c>
      <c r="H137" s="257">
        <v>8.5999999999999993E-2</v>
      </c>
      <c r="I137" s="257">
        <v>5.8000000000000003E-2</v>
      </c>
      <c r="J137" s="490">
        <v>2.02</v>
      </c>
      <c r="K137" s="596">
        <v>44691</v>
      </c>
      <c r="L137" s="489" t="s">
        <v>219</v>
      </c>
      <c r="M137" s="257" t="s">
        <v>220</v>
      </c>
      <c r="N137" s="491">
        <v>2.5099999999999998</v>
      </c>
      <c r="O137" s="572">
        <v>2.48</v>
      </c>
      <c r="P137" s="491">
        <f>ABS(N137-O137)</f>
        <v>2.9999999999999805E-2</v>
      </c>
      <c r="Q137" s="393">
        <v>12.564</v>
      </c>
      <c r="R137" s="393">
        <v>12.5</v>
      </c>
      <c r="S137" s="597">
        <f>ABS(Q137-R137)</f>
        <v>6.4000000000000057E-2</v>
      </c>
      <c r="T137" s="393">
        <v>25.085999999999999</v>
      </c>
      <c r="U137" s="393">
        <v>24.8</v>
      </c>
      <c r="V137" s="491">
        <f>T137-U137</f>
        <v>0.28599999999999781</v>
      </c>
      <c r="W137" s="780">
        <f>MAX(V137,S137,P137)</f>
        <v>0.28599999999999781</v>
      </c>
      <c r="AA137" s="451"/>
      <c r="AB137" s="451"/>
      <c r="AC137" s="529" t="s">
        <v>221</v>
      </c>
      <c r="AD137" s="254">
        <v>1</v>
      </c>
      <c r="AE137" s="254">
        <v>20</v>
      </c>
      <c r="AF137" s="595">
        <v>16.387059999999998</v>
      </c>
      <c r="AG137" s="451"/>
      <c r="AH137" s="529"/>
      <c r="AI137" s="594"/>
    </row>
    <row r="138" spans="1:35" ht="30" customHeight="1" thickBot="1" x14ac:dyDescent="0.25">
      <c r="A138" s="480"/>
      <c r="K138" s="432"/>
      <c r="O138" s="451"/>
      <c r="T138" s="451"/>
      <c r="U138" s="451"/>
      <c r="V138" s="451"/>
      <c r="AA138" s="451"/>
      <c r="AB138" s="451"/>
      <c r="AC138" s="802" t="s">
        <v>37</v>
      </c>
      <c r="AD138" s="803">
        <v>0.31</v>
      </c>
      <c r="AE138" s="803">
        <v>40</v>
      </c>
      <c r="AF138" s="804">
        <v>5</v>
      </c>
      <c r="AG138" s="451"/>
      <c r="AH138" s="532"/>
      <c r="AI138" s="598"/>
    </row>
    <row r="139" spans="1:35" ht="30" customHeight="1" thickBot="1" x14ac:dyDescent="0.25">
      <c r="A139" s="480"/>
      <c r="B139" s="1494" t="s">
        <v>183</v>
      </c>
      <c r="C139" s="1495"/>
      <c r="D139" s="1528"/>
      <c r="E139" s="1528"/>
      <c r="F139" s="1528"/>
      <c r="G139" s="1528"/>
      <c r="H139" s="1528"/>
      <c r="I139" s="1528"/>
      <c r="J139" s="1528"/>
      <c r="K139" s="1528"/>
      <c r="L139" s="1528"/>
      <c r="M139" s="1528"/>
      <c r="N139" s="1528"/>
      <c r="O139" s="1528"/>
      <c r="P139" s="1528"/>
      <c r="Q139" s="1528"/>
      <c r="R139" s="1528"/>
      <c r="S139" s="1528"/>
      <c r="T139" s="1528"/>
      <c r="U139" s="1528"/>
      <c r="V139" s="1528"/>
      <c r="W139" s="1528"/>
      <c r="X139" s="1528"/>
      <c r="Y139" s="1528"/>
      <c r="Z139" s="1528"/>
      <c r="AA139" s="1529"/>
      <c r="AB139" s="451"/>
      <c r="AC139" s="599">
        <v>5.0000000000000001E-4</v>
      </c>
      <c r="AD139" s="257">
        <v>5.8000000000000003E-2</v>
      </c>
      <c r="AE139" s="257">
        <v>40</v>
      </c>
      <c r="AF139" s="600">
        <v>0.946353</v>
      </c>
    </row>
    <row r="140" spans="1:35" ht="60" customHeight="1" thickBot="1" x14ac:dyDescent="0.25">
      <c r="A140" s="480"/>
      <c r="B140" s="1539" t="s">
        <v>222</v>
      </c>
      <c r="C140" s="575"/>
      <c r="D140" s="422" t="s">
        <v>24</v>
      </c>
      <c r="E140" s="185" t="s">
        <v>223</v>
      </c>
      <c r="F140" s="1432" t="s">
        <v>77</v>
      </c>
      <c r="G140" s="185" t="s">
        <v>68</v>
      </c>
      <c r="H140" s="185" t="s">
        <v>69</v>
      </c>
      <c r="I140" s="185" t="s">
        <v>70</v>
      </c>
      <c r="J140" s="185" t="s">
        <v>71</v>
      </c>
      <c r="K140" s="493" t="s">
        <v>6</v>
      </c>
      <c r="L140" s="185" t="s">
        <v>185</v>
      </c>
      <c r="M140" s="185" t="s">
        <v>186</v>
      </c>
      <c r="N140" s="1538" t="s">
        <v>224</v>
      </c>
      <c r="O140" s="1538"/>
      <c r="P140" s="185" t="s">
        <v>225</v>
      </c>
      <c r="Q140" s="185" t="s">
        <v>226</v>
      </c>
      <c r="R140" s="185" t="s">
        <v>187</v>
      </c>
      <c r="S140" s="185" t="s">
        <v>188</v>
      </c>
      <c r="T140" s="601" t="s">
        <v>75</v>
      </c>
      <c r="U140" s="185" t="s">
        <v>189</v>
      </c>
      <c r="V140" s="185" t="s">
        <v>190</v>
      </c>
      <c r="W140" s="601" t="s">
        <v>75</v>
      </c>
      <c r="X140" s="185" t="s">
        <v>191</v>
      </c>
      <c r="Y140" s="185" t="s">
        <v>192</v>
      </c>
      <c r="Z140" s="601" t="s">
        <v>75</v>
      </c>
      <c r="AA140" s="276" t="s">
        <v>193</v>
      </c>
      <c r="AB140" s="451"/>
      <c r="AC140" s="451"/>
    </row>
    <row r="141" spans="1:35" ht="30" customHeight="1" thickBot="1" x14ac:dyDescent="0.25">
      <c r="A141" s="480"/>
      <c r="B141" s="1540"/>
      <c r="C141" s="575"/>
      <c r="E141" s="307"/>
      <c r="F141" s="307"/>
      <c r="G141" s="307"/>
      <c r="H141" s="307"/>
      <c r="I141" s="307"/>
      <c r="J141" s="307"/>
      <c r="K141" s="515"/>
      <c r="M141" s="515"/>
      <c r="N141" s="451"/>
      <c r="O141" s="307"/>
      <c r="P141" s="307"/>
      <c r="Q141" s="451"/>
      <c r="S141" s="451"/>
      <c r="T141" s="51"/>
      <c r="U141" s="51"/>
      <c r="V141" s="51"/>
      <c r="W141" s="51"/>
      <c r="AA141" s="602"/>
      <c r="AB141" s="451"/>
      <c r="AC141" s="451"/>
    </row>
    <row r="142" spans="1:35" ht="33.950000000000003" customHeight="1" x14ac:dyDescent="0.2">
      <c r="A142" s="480"/>
      <c r="B142" s="1541"/>
      <c r="C142" s="526" t="s">
        <v>227</v>
      </c>
      <c r="D142" s="251" t="s">
        <v>228</v>
      </c>
      <c r="E142" s="251" t="s">
        <v>229</v>
      </c>
      <c r="F142" s="251" t="s">
        <v>230</v>
      </c>
      <c r="G142" s="277">
        <v>1</v>
      </c>
      <c r="H142" s="251">
        <v>-0.69</v>
      </c>
      <c r="I142" s="275">
        <v>0.15</v>
      </c>
      <c r="J142" s="275">
        <v>2.02</v>
      </c>
      <c r="K142" s="603">
        <v>44582</v>
      </c>
      <c r="L142" s="604" t="s">
        <v>231</v>
      </c>
      <c r="M142" s="251" t="s">
        <v>232</v>
      </c>
      <c r="N142" s="251">
        <v>10</v>
      </c>
      <c r="O142" s="251">
        <v>100</v>
      </c>
      <c r="P142" s="251">
        <v>11.59</v>
      </c>
      <c r="Q142" s="251">
        <v>100.69</v>
      </c>
      <c r="R142" s="374">
        <v>11.59</v>
      </c>
      <c r="S142" s="374">
        <v>10.3</v>
      </c>
      <c r="T142" s="605">
        <f t="shared" ref="T142:T147" si="0">ABS(R142-S142)</f>
        <v>1.2899999999999991</v>
      </c>
      <c r="U142" s="374">
        <v>51.11</v>
      </c>
      <c r="V142" s="374">
        <v>50.16</v>
      </c>
      <c r="W142" s="605">
        <f t="shared" ref="W142:W147" si="1">ABS(U142-V142)</f>
        <v>0.95000000000000284</v>
      </c>
      <c r="X142" s="374">
        <v>100.69</v>
      </c>
      <c r="Y142" s="374">
        <v>100.24</v>
      </c>
      <c r="Z142" s="605">
        <f t="shared" ref="Z142:Z147" si="2">ABS(X142-Y142)</f>
        <v>0.45000000000000284</v>
      </c>
      <c r="AA142" s="606">
        <f t="shared" ref="AA142:AA147" si="3">ABS(MAX(T142,W142,Z142))</f>
        <v>1.2899999999999991</v>
      </c>
      <c r="AB142" s="451"/>
      <c r="AC142" s="650"/>
      <c r="AE142" s="607"/>
    </row>
    <row r="143" spans="1:35" ht="33.950000000000003" customHeight="1" x14ac:dyDescent="0.2">
      <c r="A143" s="480"/>
      <c r="B143" s="1541"/>
      <c r="C143" s="529" t="s">
        <v>233</v>
      </c>
      <c r="D143" s="254" t="s">
        <v>198</v>
      </c>
      <c r="E143" s="254">
        <v>27755</v>
      </c>
      <c r="F143" s="194">
        <v>499.6</v>
      </c>
      <c r="G143" s="423">
        <v>5</v>
      </c>
      <c r="H143" s="194">
        <v>0.4</v>
      </c>
      <c r="I143" s="254">
        <v>0.78</v>
      </c>
      <c r="J143" s="423">
        <v>2.02</v>
      </c>
      <c r="K143" s="583">
        <v>44656</v>
      </c>
      <c r="L143" s="254" t="s">
        <v>234</v>
      </c>
      <c r="M143" s="254" t="s">
        <v>235</v>
      </c>
      <c r="N143" s="254">
        <v>50</v>
      </c>
      <c r="O143" s="254">
        <v>500</v>
      </c>
      <c r="P143" s="254">
        <v>49.29</v>
      </c>
      <c r="Q143" s="194">
        <v>499.6</v>
      </c>
      <c r="R143" s="377">
        <v>49.29</v>
      </c>
      <c r="S143" s="377">
        <v>50.14</v>
      </c>
      <c r="T143" s="200">
        <f t="shared" si="0"/>
        <v>0.85000000000000142</v>
      </c>
      <c r="U143" s="377">
        <v>249.63</v>
      </c>
      <c r="V143" s="377">
        <v>249.77</v>
      </c>
      <c r="W143" s="200">
        <f t="shared" si="1"/>
        <v>0.14000000000001478</v>
      </c>
      <c r="X143" s="416">
        <v>499.6</v>
      </c>
      <c r="Y143" s="377">
        <v>500.66699999999997</v>
      </c>
      <c r="Z143" s="200">
        <f t="shared" si="2"/>
        <v>1.0669999999999504</v>
      </c>
      <c r="AA143" s="608">
        <f t="shared" si="3"/>
        <v>1.0669999999999504</v>
      </c>
      <c r="AD143" s="536"/>
    </row>
    <row r="144" spans="1:35" ht="33.950000000000003" customHeight="1" x14ac:dyDescent="0.2">
      <c r="A144" s="480"/>
      <c r="B144" s="1541"/>
      <c r="C144" s="529" t="s">
        <v>236</v>
      </c>
      <c r="D144" s="254" t="s">
        <v>228</v>
      </c>
      <c r="E144" s="254" t="s">
        <v>229</v>
      </c>
      <c r="F144" s="254">
        <v>99.31</v>
      </c>
      <c r="G144" s="423">
        <v>1</v>
      </c>
      <c r="H144" s="254">
        <v>0.69</v>
      </c>
      <c r="I144" s="254">
        <v>9.5000000000000001E-2</v>
      </c>
      <c r="J144" s="254">
        <v>2.02</v>
      </c>
      <c r="K144" s="583">
        <v>42534</v>
      </c>
      <c r="L144" s="254" t="s">
        <v>237</v>
      </c>
      <c r="M144" s="254" t="s">
        <v>232</v>
      </c>
      <c r="N144" s="254">
        <v>10</v>
      </c>
      <c r="O144" s="254">
        <v>100</v>
      </c>
      <c r="P144" s="254">
        <v>19.510000000000002</v>
      </c>
      <c r="Q144" s="254">
        <v>99.31</v>
      </c>
      <c r="R144" s="416">
        <v>19.510000000000002</v>
      </c>
      <c r="S144" s="377">
        <v>19.510000000000002</v>
      </c>
      <c r="T144" s="200">
        <f t="shared" si="0"/>
        <v>0</v>
      </c>
      <c r="U144" s="377">
        <v>39.299999999999997</v>
      </c>
      <c r="V144" s="377">
        <v>39.299999999999997</v>
      </c>
      <c r="W144" s="200">
        <f t="shared" si="1"/>
        <v>0</v>
      </c>
      <c r="X144" s="377">
        <v>99.31</v>
      </c>
      <c r="Y144" s="377">
        <v>99.31</v>
      </c>
      <c r="Z144" s="200">
        <f t="shared" si="2"/>
        <v>0</v>
      </c>
      <c r="AA144" s="608">
        <f t="shared" si="3"/>
        <v>0</v>
      </c>
      <c r="AH144" s="509"/>
    </row>
    <row r="145" spans="1:34" ht="33.950000000000003" customHeight="1" x14ac:dyDescent="0.2">
      <c r="A145" s="480"/>
      <c r="B145" s="1541"/>
      <c r="C145" s="529" t="s">
        <v>238</v>
      </c>
      <c r="D145" s="254" t="s">
        <v>198</v>
      </c>
      <c r="E145" s="254">
        <v>27757</v>
      </c>
      <c r="F145" s="194">
        <v>499.7</v>
      </c>
      <c r="G145" s="423">
        <v>5</v>
      </c>
      <c r="H145" s="194">
        <v>0.3</v>
      </c>
      <c r="I145" s="254">
        <v>0.77</v>
      </c>
      <c r="J145" s="423">
        <v>2.02</v>
      </c>
      <c r="K145" s="583">
        <v>44655</v>
      </c>
      <c r="L145" s="254" t="s">
        <v>239</v>
      </c>
      <c r="M145" s="254" t="s">
        <v>235</v>
      </c>
      <c r="N145" s="254">
        <v>50</v>
      </c>
      <c r="O145" s="254">
        <v>500</v>
      </c>
      <c r="P145" s="194">
        <v>50.07</v>
      </c>
      <c r="Q145" s="194">
        <v>499.7</v>
      </c>
      <c r="R145" s="377">
        <v>50.07</v>
      </c>
      <c r="S145" s="377">
        <v>50.7</v>
      </c>
      <c r="T145" s="200">
        <f t="shared" si="0"/>
        <v>0.63000000000000256</v>
      </c>
      <c r="U145" s="377">
        <v>250.08</v>
      </c>
      <c r="V145" s="377">
        <v>250.64</v>
      </c>
      <c r="W145" s="200">
        <f t="shared" si="1"/>
        <v>0.55999999999997385</v>
      </c>
      <c r="X145" s="416">
        <v>499.7</v>
      </c>
      <c r="Y145" s="377">
        <v>499.20800000000003</v>
      </c>
      <c r="Z145" s="200">
        <f t="shared" si="2"/>
        <v>0.4919999999999618</v>
      </c>
      <c r="AA145" s="608">
        <f t="shared" si="3"/>
        <v>0.63000000000000256</v>
      </c>
      <c r="AH145" s="536"/>
    </row>
    <row r="146" spans="1:34" ht="33.950000000000003" customHeight="1" x14ac:dyDescent="0.2">
      <c r="A146" s="480"/>
      <c r="B146" s="1541"/>
      <c r="C146" s="529" t="s">
        <v>240</v>
      </c>
      <c r="D146" s="254" t="s">
        <v>198</v>
      </c>
      <c r="E146" s="254">
        <v>27758</v>
      </c>
      <c r="F146" s="194">
        <v>499.9</v>
      </c>
      <c r="G146" s="423">
        <v>5</v>
      </c>
      <c r="H146" s="194">
        <v>0.1</v>
      </c>
      <c r="I146" s="254">
        <v>0.78</v>
      </c>
      <c r="J146" s="254">
        <v>2.02</v>
      </c>
      <c r="K146" s="583">
        <v>44649</v>
      </c>
      <c r="L146" s="254" t="s">
        <v>241</v>
      </c>
      <c r="M146" s="254" t="s">
        <v>235</v>
      </c>
      <c r="N146" s="254">
        <v>50</v>
      </c>
      <c r="O146" s="254">
        <v>500</v>
      </c>
      <c r="P146" s="254">
        <v>49.37</v>
      </c>
      <c r="Q146" s="194">
        <v>499.9</v>
      </c>
      <c r="R146" s="377">
        <v>49.37</v>
      </c>
      <c r="S146" s="377">
        <v>49.37</v>
      </c>
      <c r="T146" s="200">
        <f t="shared" si="0"/>
        <v>0</v>
      </c>
      <c r="U146" s="377">
        <v>249.77</v>
      </c>
      <c r="V146" s="377">
        <v>249.77</v>
      </c>
      <c r="W146" s="200">
        <f t="shared" si="1"/>
        <v>0</v>
      </c>
      <c r="X146" s="377">
        <v>499.9</v>
      </c>
      <c r="Y146" s="377">
        <v>500.34800000000001</v>
      </c>
      <c r="Z146" s="200">
        <f t="shared" si="2"/>
        <v>0.44800000000003593</v>
      </c>
      <c r="AA146" s="608">
        <f t="shared" si="3"/>
        <v>0.44800000000003593</v>
      </c>
    </row>
    <row r="147" spans="1:34" ht="33.950000000000003" customHeight="1" thickBot="1" x14ac:dyDescent="0.25">
      <c r="A147" s="480"/>
      <c r="B147" s="1542"/>
      <c r="C147" s="532" t="s">
        <v>242</v>
      </c>
      <c r="D147" s="257" t="s">
        <v>198</v>
      </c>
      <c r="E147" s="257">
        <v>27759</v>
      </c>
      <c r="F147" s="257">
        <v>1000</v>
      </c>
      <c r="G147" s="424">
        <v>10</v>
      </c>
      <c r="H147" s="257">
        <v>0</v>
      </c>
      <c r="I147" s="257">
        <v>1.3</v>
      </c>
      <c r="J147" s="257">
        <v>2.02</v>
      </c>
      <c r="K147" s="596">
        <v>44659</v>
      </c>
      <c r="L147" s="257" t="s">
        <v>243</v>
      </c>
      <c r="M147" s="257" t="s">
        <v>244</v>
      </c>
      <c r="N147" s="257">
        <v>100</v>
      </c>
      <c r="O147" s="257">
        <v>1000</v>
      </c>
      <c r="P147" s="257">
        <v>99.8</v>
      </c>
      <c r="Q147" s="257">
        <v>1000</v>
      </c>
      <c r="R147" s="393">
        <v>99.8</v>
      </c>
      <c r="S147" s="393">
        <v>99.8</v>
      </c>
      <c r="T147" s="609">
        <f t="shared" si="0"/>
        <v>0</v>
      </c>
      <c r="U147" s="393">
        <v>500.7</v>
      </c>
      <c r="V147" s="393">
        <v>500.7</v>
      </c>
      <c r="W147" s="609">
        <f t="shared" si="1"/>
        <v>0</v>
      </c>
      <c r="X147" s="393">
        <v>1000</v>
      </c>
      <c r="Y147" s="393">
        <v>1000.625</v>
      </c>
      <c r="Z147" s="609">
        <f t="shared" si="2"/>
        <v>0.625</v>
      </c>
      <c r="AA147" s="610">
        <f t="shared" si="3"/>
        <v>0.625</v>
      </c>
    </row>
    <row r="148" spans="1:34" ht="30" customHeight="1" thickBot="1" x14ac:dyDescent="0.25">
      <c r="A148" s="480"/>
      <c r="K148" s="432"/>
      <c r="O148" s="1524"/>
      <c r="P148" s="1524"/>
      <c r="Q148" s="1524"/>
      <c r="S148" s="50"/>
      <c r="V148" s="611"/>
    </row>
    <row r="149" spans="1:34" ht="30" customHeight="1" thickBot="1" x14ac:dyDescent="0.25">
      <c r="A149" s="480"/>
      <c r="B149" s="1494" t="s">
        <v>245</v>
      </c>
      <c r="C149" s="1495"/>
      <c r="D149" s="1528"/>
      <c r="E149" s="1528"/>
      <c r="F149" s="1528"/>
      <c r="G149" s="1528"/>
      <c r="H149" s="1528"/>
      <c r="I149" s="1528"/>
      <c r="J149" s="1528"/>
      <c r="K149" s="1528"/>
      <c r="L149" s="1529"/>
      <c r="N149" s="70"/>
      <c r="O149" s="70"/>
      <c r="P149" s="70"/>
      <c r="Q149" s="307"/>
      <c r="S149" s="612"/>
      <c r="V149" s="611"/>
    </row>
    <row r="150" spans="1:34" ht="60" customHeight="1" thickBot="1" x14ac:dyDescent="0.25">
      <c r="A150" s="480"/>
      <c r="B150" s="1549" t="s">
        <v>246</v>
      </c>
      <c r="C150" s="581"/>
      <c r="D150" s="422" t="s">
        <v>24</v>
      </c>
      <c r="E150" s="185" t="s">
        <v>66</v>
      </c>
      <c r="F150" s="1432" t="s">
        <v>77</v>
      </c>
      <c r="G150" s="185" t="s">
        <v>68</v>
      </c>
      <c r="H150" s="185" t="s">
        <v>69</v>
      </c>
      <c r="I150" s="185" t="s">
        <v>70</v>
      </c>
      <c r="J150" s="185" t="s">
        <v>71</v>
      </c>
      <c r="K150" s="493" t="s">
        <v>6</v>
      </c>
      <c r="L150" s="276" t="s">
        <v>185</v>
      </c>
      <c r="N150" s="50"/>
      <c r="O150" s="307"/>
      <c r="P150" s="307"/>
      <c r="Q150" s="611"/>
      <c r="S150" s="307"/>
      <c r="U150" s="613"/>
      <c r="V150" s="614"/>
      <c r="W150" s="451"/>
    </row>
    <row r="151" spans="1:34" ht="30" customHeight="1" thickBot="1" x14ac:dyDescent="0.25">
      <c r="A151" s="480"/>
      <c r="B151" s="1550"/>
      <c r="C151" s="581"/>
      <c r="D151" s="615"/>
      <c r="E151" s="616"/>
      <c r="F151" s="616"/>
      <c r="G151" s="616"/>
      <c r="H151" s="616"/>
      <c r="I151" s="616"/>
      <c r="J151" s="616"/>
      <c r="K151" s="617"/>
      <c r="L151" s="618"/>
      <c r="N151" s="50"/>
      <c r="O151" s="307"/>
      <c r="P151" s="307"/>
      <c r="Q151" s="611"/>
      <c r="R151" s="451"/>
      <c r="T151" s="53"/>
      <c r="U151" s="53"/>
      <c r="V151" s="53"/>
      <c r="W151" s="451"/>
      <c r="X151" s="451"/>
      <c r="Y151" s="451"/>
      <c r="Z151" s="451"/>
      <c r="AA151" s="451"/>
      <c r="AB151" s="451"/>
      <c r="AC151" s="451"/>
    </row>
    <row r="152" spans="1:34" ht="43.5" customHeight="1" thickBot="1" x14ac:dyDescent="0.25">
      <c r="A152" s="480"/>
      <c r="B152" s="1551"/>
      <c r="C152" s="619" t="s">
        <v>247</v>
      </c>
      <c r="D152" s="620" t="s">
        <v>248</v>
      </c>
      <c r="E152" s="620">
        <v>4044</v>
      </c>
      <c r="F152" s="620">
        <v>120</v>
      </c>
      <c r="G152" s="620">
        <v>0.01</v>
      </c>
      <c r="H152" s="621">
        <v>0.18239</v>
      </c>
      <c r="I152" s="622">
        <v>2.9E-4</v>
      </c>
      <c r="J152" s="620">
        <v>2.2999999999999998</v>
      </c>
      <c r="K152" s="623">
        <v>43801</v>
      </c>
      <c r="L152" s="624" t="s">
        <v>249</v>
      </c>
      <c r="N152" s="307"/>
      <c r="O152" s="307"/>
      <c r="P152" s="307"/>
      <c r="Q152" s="611"/>
      <c r="R152" s="451"/>
      <c r="S152" s="50"/>
      <c r="T152" s="70"/>
      <c r="U152" s="70"/>
      <c r="W152" s="451"/>
      <c r="X152" s="451"/>
      <c r="Y152" s="451"/>
      <c r="Z152" s="451"/>
      <c r="AA152" s="451"/>
      <c r="AB152" s="451"/>
      <c r="AC152" s="451"/>
    </row>
    <row r="153" spans="1:34" ht="30" customHeight="1" x14ac:dyDescent="0.2">
      <c r="A153" s="480"/>
      <c r="B153" s="625"/>
      <c r="C153" s="307"/>
      <c r="D153" s="433"/>
      <c r="E153" s="307"/>
      <c r="F153" s="307"/>
      <c r="G153" s="307"/>
      <c r="H153" s="307"/>
      <c r="I153" s="307"/>
      <c r="J153" s="307"/>
      <c r="K153" s="515"/>
      <c r="L153" s="626"/>
      <c r="N153" s="307"/>
      <c r="O153" s="451"/>
      <c r="P153" s="451"/>
      <c r="Q153" s="451"/>
      <c r="S153" s="50"/>
      <c r="T153" s="508"/>
      <c r="U153" s="508"/>
      <c r="V153" s="611"/>
      <c r="W153" s="451"/>
      <c r="X153" s="451"/>
      <c r="Y153" s="451"/>
      <c r="Z153" s="451"/>
      <c r="AA153" s="451"/>
      <c r="AB153" s="451"/>
      <c r="AC153" s="451"/>
    </row>
    <row r="154" spans="1:34" ht="30" customHeight="1" thickBot="1" x14ac:dyDescent="0.25">
      <c r="A154" s="480"/>
      <c r="K154" s="432"/>
      <c r="O154" s="1524"/>
      <c r="P154" s="1524"/>
      <c r="Q154" s="1524"/>
      <c r="S154" s="50"/>
      <c r="V154" s="611"/>
      <c r="W154" s="451"/>
      <c r="X154" s="451"/>
      <c r="Y154" s="451"/>
      <c r="Z154" s="451"/>
      <c r="AA154" s="451"/>
      <c r="AB154" s="451"/>
      <c r="AC154" s="451"/>
    </row>
    <row r="155" spans="1:34" ht="30" customHeight="1" thickBot="1" x14ac:dyDescent="0.25">
      <c r="A155" s="480"/>
      <c r="B155" s="1494" t="s">
        <v>250</v>
      </c>
      <c r="C155" s="1495"/>
      <c r="D155" s="1495"/>
      <c r="E155" s="1495"/>
      <c r="F155" s="1495"/>
      <c r="G155" s="1495"/>
      <c r="H155" s="1495"/>
      <c r="I155" s="1495"/>
      <c r="J155" s="1495"/>
      <c r="K155" s="1495"/>
      <c r="L155" s="1496"/>
      <c r="N155" s="70"/>
      <c r="O155" s="70"/>
      <c r="P155" s="70"/>
      <c r="Q155" s="307"/>
      <c r="S155" s="612"/>
      <c r="V155" s="611"/>
      <c r="W155" s="451"/>
      <c r="X155" s="451"/>
      <c r="Y155" s="451"/>
      <c r="Z155" s="451"/>
      <c r="AA155" s="451"/>
      <c r="AB155" s="451"/>
      <c r="AC155" s="451"/>
    </row>
    <row r="156" spans="1:34" ht="60" customHeight="1" thickBot="1" x14ac:dyDescent="0.25">
      <c r="A156" s="480"/>
      <c r="C156" s="307"/>
      <c r="D156" s="422" t="s">
        <v>24</v>
      </c>
      <c r="E156" s="184" t="s">
        <v>66</v>
      </c>
      <c r="F156" s="1432" t="s">
        <v>77</v>
      </c>
      <c r="G156" s="185" t="s">
        <v>68</v>
      </c>
      <c r="H156" s="185" t="s">
        <v>69</v>
      </c>
      <c r="I156" s="185" t="s">
        <v>70</v>
      </c>
      <c r="J156" s="185" t="s">
        <v>71</v>
      </c>
      <c r="K156" s="627" t="s">
        <v>6</v>
      </c>
      <c r="L156" s="276" t="s">
        <v>185</v>
      </c>
      <c r="N156" s="50"/>
      <c r="O156" s="307"/>
      <c r="P156" s="307"/>
      <c r="Q156" s="611"/>
      <c r="S156" s="50"/>
      <c r="V156" s="104"/>
      <c r="W156" s="451"/>
      <c r="X156" s="451"/>
      <c r="Y156" s="451"/>
      <c r="Z156" s="451"/>
      <c r="AA156" s="451"/>
      <c r="AB156" s="451"/>
      <c r="AC156" s="451"/>
    </row>
    <row r="157" spans="1:34" ht="30" customHeight="1" thickBot="1" x14ac:dyDescent="0.25">
      <c r="A157" s="480"/>
      <c r="C157" s="307"/>
      <c r="D157" s="628"/>
      <c r="E157" s="497"/>
      <c r="F157" s="497"/>
      <c r="G157" s="497"/>
      <c r="H157" s="497"/>
      <c r="I157" s="497"/>
      <c r="J157" s="497"/>
      <c r="K157" s="629"/>
      <c r="L157" s="630"/>
      <c r="N157" s="50"/>
      <c r="O157" s="307"/>
      <c r="P157" s="307"/>
      <c r="Q157" s="611"/>
      <c r="W157" s="451"/>
      <c r="X157" s="451"/>
      <c r="Y157" s="451"/>
      <c r="Z157" s="451"/>
      <c r="AA157" s="451"/>
      <c r="AB157" s="451"/>
      <c r="AC157" s="451"/>
    </row>
    <row r="158" spans="1:34" ht="33.950000000000003" customHeight="1" x14ac:dyDescent="0.2">
      <c r="A158" s="480"/>
      <c r="B158" s="1543" t="s">
        <v>251</v>
      </c>
      <c r="C158" s="631" t="s">
        <v>252</v>
      </c>
      <c r="D158" s="1546" t="s">
        <v>253</v>
      </c>
      <c r="E158" s="251">
        <v>16901291</v>
      </c>
      <c r="F158" s="632">
        <v>5</v>
      </c>
      <c r="G158" s="251">
        <v>0.01</v>
      </c>
      <c r="H158" s="385">
        <v>0</v>
      </c>
      <c r="I158" s="387">
        <v>8.0000000000000002E-3</v>
      </c>
      <c r="J158" s="277">
        <v>2</v>
      </c>
      <c r="K158" s="366">
        <v>44636</v>
      </c>
      <c r="L158" s="633" t="s">
        <v>254</v>
      </c>
      <c r="N158" s="307"/>
      <c r="O158" s="307"/>
      <c r="P158" s="307"/>
      <c r="Q158" s="611"/>
      <c r="W158" s="451"/>
      <c r="X158" s="451"/>
      <c r="Y158" s="451"/>
      <c r="Z158" s="451"/>
      <c r="AA158" s="451"/>
      <c r="AB158" s="451"/>
      <c r="AC158" s="451"/>
    </row>
    <row r="159" spans="1:34" ht="33.950000000000003" customHeight="1" x14ac:dyDescent="0.2">
      <c r="A159" s="480"/>
      <c r="B159" s="1544"/>
      <c r="C159" s="634" t="s">
        <v>255</v>
      </c>
      <c r="D159" s="1547"/>
      <c r="E159" s="254">
        <v>16901291</v>
      </c>
      <c r="F159" s="416">
        <v>20</v>
      </c>
      <c r="G159" s="254">
        <v>0.01</v>
      </c>
      <c r="H159" s="587">
        <v>4.0000000000000001E-3</v>
      </c>
      <c r="I159" s="635">
        <v>0.01</v>
      </c>
      <c r="J159" s="423">
        <v>2</v>
      </c>
      <c r="K159" s="367">
        <v>44636</v>
      </c>
      <c r="L159" s="636" t="s">
        <v>254</v>
      </c>
      <c r="N159" s="307"/>
      <c r="O159" s="451"/>
      <c r="P159" s="451"/>
      <c r="Q159" s="451"/>
      <c r="W159" s="451"/>
      <c r="X159" s="451"/>
      <c r="Y159" s="451"/>
      <c r="Z159" s="451"/>
      <c r="AA159" s="451"/>
      <c r="AB159" s="451"/>
      <c r="AC159" s="451"/>
    </row>
    <row r="160" spans="1:34" ht="33.950000000000003" customHeight="1" x14ac:dyDescent="0.2">
      <c r="A160" s="480"/>
      <c r="B160" s="1544"/>
      <c r="C160" s="634" t="s">
        <v>256</v>
      </c>
      <c r="D160" s="1547"/>
      <c r="E160" s="254">
        <v>16901291</v>
      </c>
      <c r="F160" s="416">
        <v>50</v>
      </c>
      <c r="G160" s="254">
        <v>0.01</v>
      </c>
      <c r="H160" s="587">
        <v>4.0000000000000001E-3</v>
      </c>
      <c r="I160" s="635">
        <v>0.01</v>
      </c>
      <c r="J160" s="423">
        <v>2</v>
      </c>
      <c r="K160" s="367">
        <v>44636</v>
      </c>
      <c r="L160" s="636" t="s">
        <v>254</v>
      </c>
      <c r="O160" s="1524"/>
      <c r="P160" s="1524"/>
      <c r="Q160" s="1524"/>
      <c r="W160" s="451"/>
      <c r="X160" s="451"/>
      <c r="Y160" s="451"/>
      <c r="Z160" s="451"/>
      <c r="AA160" s="451"/>
      <c r="AB160" s="451"/>
      <c r="AC160" s="451"/>
    </row>
    <row r="161" spans="1:45" ht="33.950000000000003" customHeight="1" x14ac:dyDescent="0.2">
      <c r="A161" s="480"/>
      <c r="B161" s="1544"/>
      <c r="C161" s="634" t="s">
        <v>257</v>
      </c>
      <c r="D161" s="1547"/>
      <c r="E161" s="254">
        <v>16901291</v>
      </c>
      <c r="F161" s="416">
        <v>70</v>
      </c>
      <c r="G161" s="254">
        <v>0.01</v>
      </c>
      <c r="H161" s="587">
        <v>-4.0000000000000001E-3</v>
      </c>
      <c r="I161" s="635">
        <v>0.01</v>
      </c>
      <c r="J161" s="423">
        <v>2</v>
      </c>
      <c r="K161" s="367">
        <v>44636</v>
      </c>
      <c r="L161" s="636" t="s">
        <v>254</v>
      </c>
      <c r="N161" s="70"/>
      <c r="O161" s="70"/>
      <c r="P161" s="70"/>
      <c r="Q161" s="307"/>
      <c r="W161" s="451"/>
      <c r="X161" s="451"/>
      <c r="Y161" s="451"/>
      <c r="Z161" s="451"/>
      <c r="AA161" s="451"/>
      <c r="AB161" s="451"/>
      <c r="AC161" s="451"/>
    </row>
    <row r="162" spans="1:45" ht="33.950000000000003" customHeight="1" x14ac:dyDescent="0.2">
      <c r="A162" s="480"/>
      <c r="B162" s="1544"/>
      <c r="C162" s="634" t="s">
        <v>258</v>
      </c>
      <c r="D162" s="1547"/>
      <c r="E162" s="254">
        <v>16901291</v>
      </c>
      <c r="F162" s="416">
        <v>100</v>
      </c>
      <c r="G162" s="254">
        <v>0.01</v>
      </c>
      <c r="H162" s="587">
        <v>-2E-3</v>
      </c>
      <c r="I162" s="635">
        <v>8.9999999999999993E-3</v>
      </c>
      <c r="J162" s="423">
        <v>2</v>
      </c>
      <c r="K162" s="367">
        <v>44636</v>
      </c>
      <c r="L162" s="636" t="s">
        <v>254</v>
      </c>
      <c r="N162" s="50"/>
      <c r="O162" s="307"/>
      <c r="P162" s="307"/>
      <c r="Q162" s="611"/>
      <c r="R162" s="451"/>
      <c r="W162" s="451"/>
      <c r="X162" s="451"/>
      <c r="Y162" s="451"/>
      <c r="Z162" s="451"/>
      <c r="AA162" s="451"/>
      <c r="AB162" s="451"/>
      <c r="AC162" s="451"/>
    </row>
    <row r="163" spans="1:45" ht="33.950000000000003" customHeight="1" x14ac:dyDescent="0.2">
      <c r="A163" s="480"/>
      <c r="B163" s="1544"/>
      <c r="C163" s="634" t="s">
        <v>259</v>
      </c>
      <c r="D163" s="1547"/>
      <c r="E163" s="254">
        <v>16901291</v>
      </c>
      <c r="F163" s="416">
        <v>150</v>
      </c>
      <c r="G163" s="254">
        <v>0.01</v>
      </c>
      <c r="H163" s="587">
        <v>-4.0000000000000001E-3</v>
      </c>
      <c r="I163" s="635">
        <v>0.01</v>
      </c>
      <c r="J163" s="423">
        <v>2</v>
      </c>
      <c r="K163" s="367">
        <v>44636</v>
      </c>
      <c r="L163" s="636" t="s">
        <v>254</v>
      </c>
      <c r="N163" s="50"/>
      <c r="O163" s="307"/>
      <c r="P163" s="307"/>
      <c r="Q163" s="611"/>
      <c r="R163" s="451"/>
      <c r="S163" s="451"/>
      <c r="T163" s="451"/>
      <c r="U163" s="451"/>
      <c r="V163" s="451"/>
      <c r="W163" s="451"/>
      <c r="X163" s="451"/>
      <c r="Y163" s="451"/>
      <c r="Z163" s="451"/>
      <c r="AA163" s="451"/>
      <c r="AB163" s="451"/>
      <c r="AC163" s="451"/>
    </row>
    <row r="164" spans="1:45" ht="33.950000000000003" customHeight="1" thickBot="1" x14ac:dyDescent="0.25">
      <c r="A164" s="480"/>
      <c r="B164" s="1545"/>
      <c r="C164" s="637" t="s">
        <v>260</v>
      </c>
      <c r="D164" s="1548"/>
      <c r="E164" s="257">
        <v>16901291</v>
      </c>
      <c r="F164" s="572">
        <v>200</v>
      </c>
      <c r="G164" s="257">
        <v>0.01</v>
      </c>
      <c r="H164" s="491">
        <v>-4.0000000000000001E-3</v>
      </c>
      <c r="I164" s="638">
        <v>0.01</v>
      </c>
      <c r="J164" s="424">
        <v>2</v>
      </c>
      <c r="K164" s="368">
        <v>44636</v>
      </c>
      <c r="L164" s="639" t="s">
        <v>254</v>
      </c>
      <c r="N164" s="307"/>
      <c r="O164" s="307"/>
      <c r="P164" s="307"/>
      <c r="Q164" s="611"/>
      <c r="R164" s="451"/>
      <c r="S164" s="451"/>
      <c r="T164" s="451"/>
      <c r="U164" s="451"/>
      <c r="V164" s="451"/>
      <c r="W164" s="451"/>
      <c r="X164" s="451"/>
      <c r="Y164" s="451"/>
      <c r="Z164" s="451"/>
      <c r="AA164" s="451"/>
      <c r="AB164" s="451"/>
      <c r="AC164" s="451"/>
      <c r="AI164" s="307"/>
      <c r="AJ164" s="307"/>
      <c r="AK164" s="307"/>
      <c r="AL164" s="307"/>
      <c r="AM164" s="307"/>
      <c r="AN164" s="307"/>
      <c r="AO164" s="307"/>
      <c r="AP164" s="307"/>
      <c r="AQ164" s="515"/>
      <c r="AR164" s="307"/>
      <c r="AS164" s="307"/>
    </row>
    <row r="165" spans="1:45" ht="35.1" customHeight="1" thickBot="1" x14ac:dyDescent="0.25">
      <c r="A165" s="480"/>
      <c r="E165" s="59"/>
      <c r="F165" s="546"/>
      <c r="G165" s="546"/>
      <c r="H165" s="640"/>
      <c r="I165" s="546"/>
      <c r="J165" s="546"/>
      <c r="K165" s="641"/>
      <c r="L165" s="525"/>
      <c r="N165" s="307"/>
      <c r="O165" s="451"/>
      <c r="P165" s="451"/>
      <c r="Q165" s="451"/>
      <c r="AS165" s="307"/>
    </row>
    <row r="166" spans="1:45" ht="33.950000000000003" customHeight="1" x14ac:dyDescent="0.2">
      <c r="A166" s="480"/>
      <c r="B166" s="1543" t="s">
        <v>261</v>
      </c>
      <c r="C166" s="631" t="s">
        <v>252</v>
      </c>
      <c r="D166" s="1546" t="s">
        <v>253</v>
      </c>
      <c r="E166" s="251">
        <v>16901291</v>
      </c>
      <c r="F166" s="632">
        <v>5</v>
      </c>
      <c r="G166" s="251">
        <v>0.01</v>
      </c>
      <c r="H166" s="385">
        <v>0</v>
      </c>
      <c r="I166" s="387">
        <v>1.7000000000000001E-2</v>
      </c>
      <c r="J166" s="277">
        <v>2</v>
      </c>
      <c r="K166" s="366">
        <v>44636</v>
      </c>
      <c r="L166" s="633" t="s">
        <v>254</v>
      </c>
      <c r="O166" s="1524"/>
      <c r="P166" s="1524"/>
      <c r="Q166" s="1524"/>
      <c r="Z166" s="51"/>
      <c r="AA166" s="51"/>
      <c r="AB166" s="51"/>
      <c r="AS166" s="307"/>
    </row>
    <row r="167" spans="1:45" ht="33.950000000000003" customHeight="1" x14ac:dyDescent="0.2">
      <c r="A167" s="480"/>
      <c r="B167" s="1544"/>
      <c r="C167" s="634" t="s">
        <v>255</v>
      </c>
      <c r="D167" s="1547"/>
      <c r="E167" s="254">
        <v>16901291</v>
      </c>
      <c r="F167" s="416">
        <v>20</v>
      </c>
      <c r="G167" s="254">
        <v>0.01</v>
      </c>
      <c r="H167" s="587">
        <v>0</v>
      </c>
      <c r="I167" s="635">
        <v>1.7000000000000001E-2</v>
      </c>
      <c r="J167" s="423">
        <v>2</v>
      </c>
      <c r="K167" s="367">
        <v>44636</v>
      </c>
      <c r="L167" s="636" t="s">
        <v>254</v>
      </c>
      <c r="N167" s="70"/>
      <c r="O167" s="70"/>
      <c r="P167" s="70"/>
      <c r="Q167" s="307"/>
      <c r="W167" s="51"/>
      <c r="X167" s="51"/>
      <c r="Y167" s="51"/>
      <c r="Z167" s="51"/>
      <c r="AA167" s="51"/>
      <c r="AB167" s="51"/>
    </row>
    <row r="168" spans="1:45" ht="33.950000000000003" customHeight="1" x14ac:dyDescent="0.2">
      <c r="A168" s="480"/>
      <c r="B168" s="1544"/>
      <c r="C168" s="634" t="s">
        <v>256</v>
      </c>
      <c r="D168" s="1547"/>
      <c r="E168" s="254">
        <v>16901291</v>
      </c>
      <c r="F168" s="416">
        <v>50</v>
      </c>
      <c r="G168" s="254">
        <v>0.01</v>
      </c>
      <c r="H168" s="587">
        <v>0</v>
      </c>
      <c r="I168" s="635">
        <v>1.7000000000000001E-2</v>
      </c>
      <c r="J168" s="423">
        <v>2</v>
      </c>
      <c r="K168" s="367">
        <v>44636</v>
      </c>
      <c r="L168" s="636" t="s">
        <v>254</v>
      </c>
      <c r="N168" s="50"/>
      <c r="O168" s="307"/>
      <c r="P168" s="307"/>
      <c r="Q168" s="611"/>
      <c r="W168" s="51"/>
      <c r="X168" s="51"/>
      <c r="Y168" s="51"/>
      <c r="Z168" s="51"/>
      <c r="AA168" s="51"/>
      <c r="AB168" s="51"/>
    </row>
    <row r="169" spans="1:45" ht="33.950000000000003" customHeight="1" x14ac:dyDescent="0.2">
      <c r="A169" s="480"/>
      <c r="B169" s="1544"/>
      <c r="C169" s="634" t="s">
        <v>257</v>
      </c>
      <c r="D169" s="1547"/>
      <c r="E169" s="254">
        <v>16901291</v>
      </c>
      <c r="F169" s="416">
        <v>70.010000000000005</v>
      </c>
      <c r="G169" s="254">
        <v>0.01</v>
      </c>
      <c r="H169" s="587">
        <v>-6.0000000000000001E-3</v>
      </c>
      <c r="I169" s="635">
        <v>1.7999999999999999E-2</v>
      </c>
      <c r="J169" s="423">
        <v>2</v>
      </c>
      <c r="K169" s="367">
        <v>44636</v>
      </c>
      <c r="L169" s="636" t="s">
        <v>254</v>
      </c>
      <c r="N169" s="50"/>
      <c r="O169" s="307"/>
      <c r="P169" s="307"/>
      <c r="Q169" s="611"/>
      <c r="W169" s="51"/>
      <c r="X169" s="51"/>
      <c r="Y169" s="51"/>
      <c r="Z169" s="51"/>
      <c r="AA169" s="51"/>
      <c r="AB169" s="51"/>
    </row>
    <row r="170" spans="1:45" ht="33.950000000000003" customHeight="1" x14ac:dyDescent="0.2">
      <c r="A170" s="480"/>
      <c r="B170" s="1544"/>
      <c r="C170" s="634" t="s">
        <v>258</v>
      </c>
      <c r="D170" s="1547"/>
      <c r="E170" s="254">
        <v>16901291</v>
      </c>
      <c r="F170" s="416">
        <v>100.01</v>
      </c>
      <c r="G170" s="254">
        <v>0.01</v>
      </c>
      <c r="H170" s="587">
        <v>-0.01</v>
      </c>
      <c r="I170" s="635">
        <v>1.7000000000000001E-2</v>
      </c>
      <c r="J170" s="423">
        <v>2</v>
      </c>
      <c r="K170" s="367">
        <v>44636</v>
      </c>
      <c r="L170" s="636" t="s">
        <v>254</v>
      </c>
      <c r="N170" s="307"/>
      <c r="O170" s="307"/>
      <c r="P170" s="307"/>
      <c r="Q170" s="611"/>
    </row>
    <row r="171" spans="1:45" ht="33.950000000000003" customHeight="1" x14ac:dyDescent="0.2">
      <c r="A171" s="480"/>
      <c r="B171" s="1544"/>
      <c r="C171" s="634" t="s">
        <v>259</v>
      </c>
      <c r="D171" s="1547"/>
      <c r="E171" s="254">
        <v>16901291</v>
      </c>
      <c r="F171" s="416">
        <v>150.01</v>
      </c>
      <c r="G171" s="254">
        <v>0.01</v>
      </c>
      <c r="H171" s="587">
        <v>-8.0000000000000002E-3</v>
      </c>
      <c r="I171" s="635">
        <v>1.7999999999999999E-2</v>
      </c>
      <c r="J171" s="423">
        <v>2</v>
      </c>
      <c r="K171" s="367">
        <v>44636</v>
      </c>
      <c r="L171" s="636" t="s">
        <v>254</v>
      </c>
      <c r="N171" s="307"/>
      <c r="O171" s="451"/>
      <c r="P171" s="642"/>
      <c r="Q171" s="451"/>
    </row>
    <row r="172" spans="1:45" ht="33.950000000000003" customHeight="1" thickBot="1" x14ac:dyDescent="0.25">
      <c r="A172" s="480"/>
      <c r="B172" s="1545"/>
      <c r="C172" s="637" t="s">
        <v>262</v>
      </c>
      <c r="D172" s="1548"/>
      <c r="E172" s="257">
        <v>16901291</v>
      </c>
      <c r="F172" s="572">
        <v>200.01</v>
      </c>
      <c r="G172" s="257">
        <v>0.01</v>
      </c>
      <c r="H172" s="491">
        <v>-1.4E-2</v>
      </c>
      <c r="I172" s="638">
        <v>1.7999999999999999E-2</v>
      </c>
      <c r="J172" s="424">
        <v>2</v>
      </c>
      <c r="K172" s="368">
        <v>44636</v>
      </c>
      <c r="L172" s="639" t="s">
        <v>254</v>
      </c>
      <c r="O172" s="1524"/>
      <c r="P172" s="1524"/>
      <c r="Q172" s="1524"/>
    </row>
    <row r="173" spans="1:45" ht="35.1" customHeight="1" x14ac:dyDescent="0.2">
      <c r="A173" s="480"/>
      <c r="D173" s="307"/>
      <c r="K173" s="432"/>
      <c r="N173" s="70"/>
      <c r="O173" s="70"/>
      <c r="P173" s="70"/>
      <c r="Q173" s="307"/>
    </row>
    <row r="174" spans="1:45" ht="35.1" customHeight="1" thickBot="1" x14ac:dyDescent="0.25"/>
    <row r="175" spans="1:45" ht="35.1" customHeight="1" thickBot="1" x14ac:dyDescent="0.25">
      <c r="A175" s="480"/>
      <c r="B175" s="1494" t="s">
        <v>263</v>
      </c>
      <c r="C175" s="1495"/>
      <c r="D175" s="1495"/>
      <c r="E175" s="1495"/>
      <c r="F175" s="1495"/>
      <c r="G175" s="1495"/>
      <c r="H175" s="1495"/>
      <c r="I175" s="1495"/>
      <c r="J175" s="1495"/>
      <c r="K175" s="1495"/>
      <c r="L175" s="1495"/>
      <c r="M175" s="1495"/>
      <c r="N175" s="1495"/>
      <c r="O175" s="1495"/>
      <c r="P175" s="1495"/>
      <c r="Q175" s="1495"/>
      <c r="R175" s="1495"/>
      <c r="S175" s="1496"/>
    </row>
    <row r="176" spans="1:45" ht="65.25" customHeight="1" thickBot="1" x14ac:dyDescent="0.25">
      <c r="A176" s="480"/>
      <c r="C176" s="307"/>
      <c r="D176" s="511" t="s">
        <v>24</v>
      </c>
      <c r="E176" s="512" t="s">
        <v>66</v>
      </c>
      <c r="F176" s="512" t="s">
        <v>264</v>
      </c>
      <c r="G176" s="512" t="s">
        <v>265</v>
      </c>
      <c r="H176" s="512" t="s">
        <v>69</v>
      </c>
      <c r="I176" s="512" t="s">
        <v>70</v>
      </c>
      <c r="J176" s="512" t="s">
        <v>71</v>
      </c>
      <c r="K176" s="513" t="s">
        <v>6</v>
      </c>
      <c r="L176" s="512" t="s">
        <v>72</v>
      </c>
      <c r="M176" s="512" t="s">
        <v>266</v>
      </c>
      <c r="N176" s="512" t="s">
        <v>267</v>
      </c>
      <c r="O176" s="512" t="s">
        <v>80</v>
      </c>
      <c r="P176" s="512" t="s">
        <v>268</v>
      </c>
      <c r="Q176" s="512" t="s">
        <v>269</v>
      </c>
      <c r="R176" s="514" t="s">
        <v>270</v>
      </c>
      <c r="S176" s="643" t="s">
        <v>271</v>
      </c>
      <c r="T176" s="50"/>
      <c r="U176" s="50"/>
    </row>
    <row r="177" spans="1:21" ht="35.1" customHeight="1" thickBot="1" x14ac:dyDescent="0.25">
      <c r="A177" s="480"/>
      <c r="D177" s="307"/>
      <c r="E177" s="307"/>
      <c r="F177" s="307"/>
      <c r="G177" s="307"/>
      <c r="H177" s="307"/>
      <c r="I177" s="307"/>
      <c r="J177" s="307"/>
      <c r="K177" s="515"/>
    </row>
    <row r="178" spans="1:21" ht="35.1" customHeight="1" x14ac:dyDescent="0.2">
      <c r="A178" s="480"/>
      <c r="B178" s="1515" t="s">
        <v>272</v>
      </c>
      <c r="C178" s="260" t="s">
        <v>273</v>
      </c>
      <c r="D178" s="1518" t="s">
        <v>274</v>
      </c>
      <c r="E178" s="261" t="s">
        <v>275</v>
      </c>
      <c r="F178" s="354">
        <v>100</v>
      </c>
      <c r="G178" s="252">
        <v>0.01</v>
      </c>
      <c r="H178" s="1387">
        <v>0</v>
      </c>
      <c r="I178" s="1393">
        <v>0.02</v>
      </c>
      <c r="J178" s="1478">
        <v>2</v>
      </c>
      <c r="K178" s="1476">
        <v>45037</v>
      </c>
      <c r="L178" s="1521" t="s">
        <v>852</v>
      </c>
      <c r="M178" s="644">
        <f>SLOPE(H178:H187,F178:F187)</f>
        <v>-2.3909782789845006E-5</v>
      </c>
      <c r="N178" s="645">
        <f>INTERCEPT(H178:H187,F178:F187)</f>
        <v>6.9037831231597985E-3</v>
      </c>
      <c r="O178" s="425">
        <f>F178</f>
        <v>100</v>
      </c>
      <c r="P178" s="501">
        <f>H178</f>
        <v>0</v>
      </c>
      <c r="Q178" s="1393">
        <v>-0.01</v>
      </c>
      <c r="R178" s="360">
        <f>ABS(P178-Q178)</f>
        <v>0.01</v>
      </c>
    </row>
    <row r="179" spans="1:21" ht="35.1" customHeight="1" thickBot="1" x14ac:dyDescent="0.25">
      <c r="A179" s="480"/>
      <c r="B179" s="1516"/>
      <c r="C179" s="262" t="s">
        <v>276</v>
      </c>
      <c r="D179" s="1519"/>
      <c r="E179" s="263" t="s">
        <v>275</v>
      </c>
      <c r="F179" s="355">
        <v>200</v>
      </c>
      <c r="G179" s="255">
        <v>0.01</v>
      </c>
      <c r="H179" s="1453">
        <v>0</v>
      </c>
      <c r="I179" s="1403">
        <v>0.02</v>
      </c>
      <c r="J179" s="1479">
        <v>2</v>
      </c>
      <c r="K179" s="1477">
        <v>45037</v>
      </c>
      <c r="L179" s="1522"/>
      <c r="M179" s="264">
        <f>SLOPE(H178:H187,F178:F187)</f>
        <v>-2.3909782789845006E-5</v>
      </c>
      <c r="N179" s="265">
        <f>INTERCEPT(H178:H187,F178:F187)</f>
        <v>6.9037831231597985E-3</v>
      </c>
      <c r="O179" s="426">
        <f t="shared" ref="O179:O187" si="4">F179</f>
        <v>200</v>
      </c>
      <c r="P179" s="535">
        <f t="shared" ref="P179:P187" si="5">H179</f>
        <v>0</v>
      </c>
      <c r="Q179" s="1453">
        <v>0</v>
      </c>
      <c r="R179" s="361">
        <f t="shared" ref="R179:R184" si="6">ABS(P179-Q179)</f>
        <v>0</v>
      </c>
    </row>
    <row r="180" spans="1:21" ht="35.1" customHeight="1" thickBot="1" x14ac:dyDescent="0.25">
      <c r="A180" s="1152" t="s">
        <v>277</v>
      </c>
      <c r="B180" s="1516"/>
      <c r="C180" s="262" t="s">
        <v>278</v>
      </c>
      <c r="D180" s="1519"/>
      <c r="E180" s="263" t="s">
        <v>275</v>
      </c>
      <c r="F180" s="355">
        <v>500</v>
      </c>
      <c r="G180" s="255">
        <v>0.01</v>
      </c>
      <c r="H180" s="1453">
        <v>0</v>
      </c>
      <c r="I180" s="1403">
        <v>0.02</v>
      </c>
      <c r="J180" s="1479">
        <v>2</v>
      </c>
      <c r="K180" s="1477">
        <v>45037</v>
      </c>
      <c r="L180" s="1522"/>
      <c r="M180" s="646">
        <f>SLOPE(H178:H187,F178:F187)</f>
        <v>-2.3909782789845006E-5</v>
      </c>
      <c r="N180" s="521">
        <f>INTERCEPT(H178:H187,F178:F187)</f>
        <v>6.9037831231597985E-3</v>
      </c>
      <c r="O180" s="426">
        <f t="shared" si="4"/>
        <v>500</v>
      </c>
      <c r="P180" s="535">
        <f t="shared" si="5"/>
        <v>0</v>
      </c>
      <c r="Q180" s="1403">
        <v>-0.01</v>
      </c>
      <c r="R180" s="361">
        <f t="shared" si="6"/>
        <v>0.01</v>
      </c>
    </row>
    <row r="181" spans="1:21" ht="35.1" customHeight="1" x14ac:dyDescent="0.2">
      <c r="A181" s="480"/>
      <c r="B181" s="1516"/>
      <c r="C181" s="262" t="s">
        <v>279</v>
      </c>
      <c r="D181" s="1519"/>
      <c r="E181" s="263" t="s">
        <v>275</v>
      </c>
      <c r="F181" s="355">
        <v>1000</v>
      </c>
      <c r="G181" s="255">
        <v>0.01</v>
      </c>
      <c r="H181" s="1403">
        <v>-0.02</v>
      </c>
      <c r="I181" s="1403">
        <v>0.03</v>
      </c>
      <c r="J181" s="1479">
        <v>2</v>
      </c>
      <c r="K181" s="1477">
        <v>45037</v>
      </c>
      <c r="L181" s="1522"/>
      <c r="M181" s="264">
        <f>SLOPE(H178:H187,F178:F187)</f>
        <v>-2.3909782789845006E-5</v>
      </c>
      <c r="N181" s="265">
        <f>INTERCEPT(H178:H187,F178:F187)</f>
        <v>6.9037831231597985E-3</v>
      </c>
      <c r="O181" s="426">
        <f t="shared" si="4"/>
        <v>1000</v>
      </c>
      <c r="P181" s="535">
        <f t="shared" si="5"/>
        <v>-0.02</v>
      </c>
      <c r="Q181" s="1403">
        <v>-0.02</v>
      </c>
      <c r="R181" s="361">
        <f t="shared" si="6"/>
        <v>0</v>
      </c>
    </row>
    <row r="182" spans="1:21" ht="35.1" customHeight="1" x14ac:dyDescent="0.2">
      <c r="A182" s="480"/>
      <c r="B182" s="1516"/>
      <c r="C182" s="262" t="s">
        <v>280</v>
      </c>
      <c r="D182" s="1519"/>
      <c r="E182" s="263" t="s">
        <v>275</v>
      </c>
      <c r="F182" s="355">
        <v>1500</v>
      </c>
      <c r="G182" s="255">
        <v>0.01</v>
      </c>
      <c r="H182" s="1453">
        <v>-0.03</v>
      </c>
      <c r="I182" s="1403">
        <v>0.03</v>
      </c>
      <c r="J182" s="1479">
        <v>2</v>
      </c>
      <c r="K182" s="1477">
        <v>45037</v>
      </c>
      <c r="L182" s="1522"/>
      <c r="M182" s="264">
        <f>SLOPE(H178:H187,F178:F187)</f>
        <v>-2.3909782789845006E-5</v>
      </c>
      <c r="N182" s="265">
        <f>INTERCEPT(H178:H187,F178:F187)</f>
        <v>6.9037831231597985E-3</v>
      </c>
      <c r="O182" s="426">
        <f t="shared" si="4"/>
        <v>1500</v>
      </c>
      <c r="P182" s="535">
        <f t="shared" si="5"/>
        <v>-0.03</v>
      </c>
      <c r="Q182" s="1403">
        <v>-0.02</v>
      </c>
      <c r="R182" s="361">
        <f t="shared" si="6"/>
        <v>9.9999999999999985E-3</v>
      </c>
    </row>
    <row r="183" spans="1:21" ht="35.1" customHeight="1" x14ac:dyDescent="0.2">
      <c r="B183" s="1516"/>
      <c r="C183" s="262" t="s">
        <v>281</v>
      </c>
      <c r="D183" s="1519"/>
      <c r="E183" s="263" t="s">
        <v>275</v>
      </c>
      <c r="F183" s="355">
        <v>2000</v>
      </c>
      <c r="G183" s="255">
        <v>0.01</v>
      </c>
      <c r="H183" s="1403">
        <v>-0.04</v>
      </c>
      <c r="I183" s="1403">
        <v>0.03</v>
      </c>
      <c r="J183" s="1479">
        <v>2</v>
      </c>
      <c r="K183" s="1477">
        <v>45037</v>
      </c>
      <c r="L183" s="1522"/>
      <c r="M183" s="264">
        <f>SLOPE(H178:H187,F178:F187)</f>
        <v>-2.3909782789845006E-5</v>
      </c>
      <c r="N183" s="265">
        <f>INTERCEPT(H178:H187,F178:F187)</f>
        <v>6.9037831231597985E-3</v>
      </c>
      <c r="O183" s="426">
        <f t="shared" si="4"/>
        <v>2000</v>
      </c>
      <c r="P183" s="535">
        <f t="shared" si="5"/>
        <v>-0.04</v>
      </c>
      <c r="Q183" s="1403">
        <v>-0.03</v>
      </c>
      <c r="R183" s="429">
        <f t="shared" si="6"/>
        <v>1.0000000000000002E-2</v>
      </c>
      <c r="S183" s="647">
        <f>0.06/5000</f>
        <v>1.2E-5</v>
      </c>
      <c r="T183" s="648"/>
      <c r="U183" s="648"/>
    </row>
    <row r="184" spans="1:21" ht="35.1" customHeight="1" x14ac:dyDescent="0.2">
      <c r="B184" s="1516"/>
      <c r="C184" s="262" t="s">
        <v>282</v>
      </c>
      <c r="D184" s="1519"/>
      <c r="E184" s="263" t="s">
        <v>275</v>
      </c>
      <c r="F184" s="355">
        <v>3500</v>
      </c>
      <c r="G184" s="255">
        <v>0.01</v>
      </c>
      <c r="H184" s="1403">
        <v>-7.0000000000000007E-2</v>
      </c>
      <c r="I184" s="1403">
        <v>0.03</v>
      </c>
      <c r="J184" s="1479">
        <v>2</v>
      </c>
      <c r="K184" s="1477">
        <v>45037</v>
      </c>
      <c r="L184" s="1522"/>
      <c r="M184" s="264">
        <f>SLOPE(H178:H187,F178:F187)</f>
        <v>-2.3909782789845006E-5</v>
      </c>
      <c r="N184" s="265">
        <f>INTERCEPT(H178:H187,F178:F187)</f>
        <v>6.9037831231597985E-3</v>
      </c>
      <c r="O184" s="426">
        <f t="shared" si="4"/>
        <v>3500</v>
      </c>
      <c r="P184" s="535">
        <f t="shared" si="5"/>
        <v>-7.0000000000000007E-2</v>
      </c>
      <c r="Q184" s="1403">
        <v>-0.05</v>
      </c>
      <c r="R184" s="361">
        <f t="shared" si="6"/>
        <v>2.0000000000000004E-2</v>
      </c>
    </row>
    <row r="185" spans="1:21" ht="35.1" customHeight="1" x14ac:dyDescent="0.2">
      <c r="B185" s="1516"/>
      <c r="C185" s="262" t="s">
        <v>283</v>
      </c>
      <c r="D185" s="1519"/>
      <c r="E185" s="263" t="s">
        <v>275</v>
      </c>
      <c r="F185" s="355">
        <v>5000</v>
      </c>
      <c r="G185" s="255">
        <v>0.01</v>
      </c>
      <c r="H185" s="1403">
        <v>-0.11</v>
      </c>
      <c r="I185" s="1403">
        <v>0.04</v>
      </c>
      <c r="J185" s="1479">
        <v>2</v>
      </c>
      <c r="K185" s="1477">
        <v>45037</v>
      </c>
      <c r="L185" s="1522"/>
      <c r="M185" s="264">
        <f>SLOPE(H178:H187,F178:F187)</f>
        <v>-2.3909782789845006E-5</v>
      </c>
      <c r="N185" s="265">
        <f>INTERCEPT(H178:H187,F178:F187)</f>
        <v>6.9037831231597985E-3</v>
      </c>
      <c r="O185" s="426">
        <f t="shared" si="4"/>
        <v>5000</v>
      </c>
      <c r="P185" s="535">
        <f t="shared" si="5"/>
        <v>-0.11</v>
      </c>
      <c r="Q185" s="1403">
        <v>-0.09</v>
      </c>
      <c r="R185" s="361">
        <f>ABS(P185-Q185)</f>
        <v>2.0000000000000004E-2</v>
      </c>
    </row>
    <row r="186" spans="1:21" ht="35.1" customHeight="1" x14ac:dyDescent="0.2">
      <c r="B186" s="1516"/>
      <c r="C186" s="262" t="s">
        <v>284</v>
      </c>
      <c r="D186" s="1519"/>
      <c r="E186" s="263" t="s">
        <v>275</v>
      </c>
      <c r="F186" s="355">
        <v>6500</v>
      </c>
      <c r="G186" s="255">
        <v>0.01</v>
      </c>
      <c r="H186" s="1403">
        <v>-0.15</v>
      </c>
      <c r="I186" s="1403">
        <v>0.05</v>
      </c>
      <c r="J186" s="1479">
        <v>2</v>
      </c>
      <c r="K186" s="1477">
        <v>45037</v>
      </c>
      <c r="L186" s="1522"/>
      <c r="M186" s="264">
        <f>SLOPE(H178:H187,F178:F187)</f>
        <v>-2.3909782789845006E-5</v>
      </c>
      <c r="N186" s="265">
        <f>INTERCEPT(H178:H187,F178:F187)</f>
        <v>6.9037831231597985E-3</v>
      </c>
      <c r="O186" s="426">
        <f t="shared" si="4"/>
        <v>6500</v>
      </c>
      <c r="P186" s="535">
        <f t="shared" si="5"/>
        <v>-0.15</v>
      </c>
      <c r="Q186" s="1403">
        <v>-0.11</v>
      </c>
      <c r="R186" s="361">
        <f>ABS(P186-Q186)</f>
        <v>3.9999999999999994E-2</v>
      </c>
    </row>
    <row r="187" spans="1:21" ht="35.1" customHeight="1" thickBot="1" x14ac:dyDescent="0.25">
      <c r="B187" s="1517"/>
      <c r="C187" s="267" t="s">
        <v>285</v>
      </c>
      <c r="D187" s="1520"/>
      <c r="E187" s="268" t="s">
        <v>275</v>
      </c>
      <c r="F187" s="356">
        <v>8100</v>
      </c>
      <c r="G187" s="258">
        <v>0.01</v>
      </c>
      <c r="H187" s="1386">
        <v>-0.19</v>
      </c>
      <c r="I187" s="1394">
        <v>0.06</v>
      </c>
      <c r="J187" s="1480">
        <v>2</v>
      </c>
      <c r="K187" s="1477">
        <v>45037</v>
      </c>
      <c r="L187" s="1523"/>
      <c r="M187" s="269">
        <f>SLOPE(H178:H187,F178:F187)</f>
        <v>-2.3909782789845006E-5</v>
      </c>
      <c r="N187" s="270">
        <f>INTERCEPT(H178:H187,F178:F187)</f>
        <v>6.9037831231597985E-3</v>
      </c>
      <c r="O187" s="427">
        <f t="shared" si="4"/>
        <v>8100</v>
      </c>
      <c r="P187" s="505">
        <f t="shared" si="5"/>
        <v>-0.19</v>
      </c>
      <c r="Q187" s="1386">
        <v>-0.2</v>
      </c>
      <c r="R187" s="362">
        <f>ABS(P187-Q187)</f>
        <v>1.0000000000000009E-2</v>
      </c>
    </row>
    <row r="188" spans="1:21" ht="35.1" customHeight="1" thickBot="1" x14ac:dyDescent="0.25"/>
    <row r="189" spans="1:21" ht="35.1" customHeight="1" x14ac:dyDescent="0.2">
      <c r="A189" s="480"/>
      <c r="B189" s="1515" t="s">
        <v>286</v>
      </c>
      <c r="C189" s="260" t="s">
        <v>287</v>
      </c>
      <c r="D189" s="1518" t="s">
        <v>288</v>
      </c>
      <c r="E189" s="261" t="s">
        <v>289</v>
      </c>
      <c r="F189" s="354">
        <v>100</v>
      </c>
      <c r="G189" s="252">
        <v>0.1</v>
      </c>
      <c r="H189" s="1385">
        <v>0</v>
      </c>
      <c r="I189" s="1393">
        <v>0.1</v>
      </c>
      <c r="J189" s="1478">
        <v>2</v>
      </c>
      <c r="K189" s="1476">
        <v>45043</v>
      </c>
      <c r="L189" s="1521" t="s">
        <v>853</v>
      </c>
      <c r="M189" s="271">
        <f>SLOPE(H189:H198,F189:F198)</f>
        <v>1.5577716885101307E-5</v>
      </c>
      <c r="N189" s="272">
        <f>INTERCEPT(H189:H198,F189:F198)</f>
        <v>-9.3177102978781789E-2</v>
      </c>
      <c r="O189" s="425">
        <f>F189</f>
        <v>100</v>
      </c>
      <c r="P189" s="363">
        <f>H189</f>
        <v>0</v>
      </c>
      <c r="Q189" s="1393">
        <v>-0.1</v>
      </c>
      <c r="R189" s="360">
        <f>ABS(P189-Q189)</f>
        <v>0.1</v>
      </c>
    </row>
    <row r="190" spans="1:21" ht="35.1" customHeight="1" thickBot="1" x14ac:dyDescent="0.25">
      <c r="A190" s="480"/>
      <c r="B190" s="1516"/>
      <c r="C190" s="262" t="s">
        <v>290</v>
      </c>
      <c r="D190" s="1519"/>
      <c r="E190" s="263" t="s">
        <v>289</v>
      </c>
      <c r="F190" s="355">
        <v>200</v>
      </c>
      <c r="G190" s="255">
        <v>0.1</v>
      </c>
      <c r="H190" s="1438">
        <v>0</v>
      </c>
      <c r="I190" s="1403">
        <v>0.1</v>
      </c>
      <c r="J190" s="1479">
        <v>2</v>
      </c>
      <c r="K190" s="1477">
        <v>45043</v>
      </c>
      <c r="L190" s="1522"/>
      <c r="M190" s="264">
        <f>SLOPE(H189:H198,F189:F198)</f>
        <v>1.5577716885101307E-5</v>
      </c>
      <c r="N190" s="265">
        <f>INTERCEPT(H189:H198,F189:F198)</f>
        <v>-9.3177102978781789E-2</v>
      </c>
      <c r="O190" s="426">
        <f t="shared" ref="O190:O198" si="7">F190</f>
        <v>200</v>
      </c>
      <c r="P190" s="364">
        <f t="shared" ref="P190:P198" si="8">H190</f>
        <v>0</v>
      </c>
      <c r="Q190" s="1403">
        <v>-0.1</v>
      </c>
      <c r="R190" s="361">
        <f t="shared" ref="R190:R195" si="9">ABS(P190-Q190)</f>
        <v>0.1</v>
      </c>
    </row>
    <row r="191" spans="1:21" ht="35.1" customHeight="1" thickBot="1" x14ac:dyDescent="0.25">
      <c r="A191" s="1152" t="s">
        <v>291</v>
      </c>
      <c r="B191" s="1516"/>
      <c r="C191" s="262" t="s">
        <v>292</v>
      </c>
      <c r="D191" s="1519"/>
      <c r="E191" s="263" t="s">
        <v>289</v>
      </c>
      <c r="F191" s="355">
        <v>5000</v>
      </c>
      <c r="G191" s="255">
        <v>0.1</v>
      </c>
      <c r="H191" s="1438">
        <v>0</v>
      </c>
      <c r="I191" s="1403">
        <v>0.2</v>
      </c>
      <c r="J191" s="1479">
        <v>2</v>
      </c>
      <c r="K191" s="1477">
        <v>45043</v>
      </c>
      <c r="L191" s="1522"/>
      <c r="M191" s="807">
        <f>SLOPE(H189:H198,F189:F198)</f>
        <v>1.5577716885101307E-5</v>
      </c>
      <c r="N191" s="266">
        <f>INTERCEPT(H189:H198,F189:F198)</f>
        <v>-9.3177102978781789E-2</v>
      </c>
      <c r="O191" s="426">
        <f t="shared" si="7"/>
        <v>5000</v>
      </c>
      <c r="P191" s="364">
        <f t="shared" si="8"/>
        <v>0</v>
      </c>
      <c r="Q191" s="1403">
        <v>-0.1</v>
      </c>
      <c r="R191" s="361">
        <f t="shared" si="9"/>
        <v>0.1</v>
      </c>
    </row>
    <row r="192" spans="1:21" ht="35.1" customHeight="1" x14ac:dyDescent="0.2">
      <c r="A192" s="480"/>
      <c r="B192" s="1516"/>
      <c r="C192" s="262" t="s">
        <v>293</v>
      </c>
      <c r="D192" s="1519"/>
      <c r="E192" s="263" t="s">
        <v>289</v>
      </c>
      <c r="F192" s="355">
        <v>10000</v>
      </c>
      <c r="G192" s="255">
        <v>0.1</v>
      </c>
      <c r="H192" s="1438">
        <v>0</v>
      </c>
      <c r="I192" s="1403">
        <v>0.2</v>
      </c>
      <c r="J192" s="1479">
        <v>2</v>
      </c>
      <c r="K192" s="1477">
        <v>45043</v>
      </c>
      <c r="L192" s="1522"/>
      <c r="M192" s="264">
        <f>SLOPE(H189:H198,F189:F198)</f>
        <v>1.5577716885101307E-5</v>
      </c>
      <c r="N192" s="265">
        <f>INTERCEPT(H189:H198,F189:F198)</f>
        <v>-9.3177102978781789E-2</v>
      </c>
      <c r="O192" s="426">
        <f t="shared" si="7"/>
        <v>10000</v>
      </c>
      <c r="P192" s="364">
        <f t="shared" si="8"/>
        <v>0</v>
      </c>
      <c r="Q192" s="1403">
        <v>-0.1</v>
      </c>
      <c r="R192" s="361">
        <f t="shared" si="9"/>
        <v>0.1</v>
      </c>
    </row>
    <row r="193" spans="1:21" ht="35.1" customHeight="1" x14ac:dyDescent="0.2">
      <c r="A193" s="480"/>
      <c r="B193" s="1516"/>
      <c r="C193" s="262" t="s">
        <v>294</v>
      </c>
      <c r="D193" s="1519"/>
      <c r="E193" s="263" t="s">
        <v>289</v>
      </c>
      <c r="F193" s="355">
        <v>15000</v>
      </c>
      <c r="G193" s="255">
        <v>0.1</v>
      </c>
      <c r="H193" s="1438">
        <v>0.1</v>
      </c>
      <c r="I193" s="1403">
        <v>0.3</v>
      </c>
      <c r="J193" s="1479">
        <v>2</v>
      </c>
      <c r="K193" s="1477">
        <v>45043</v>
      </c>
      <c r="L193" s="1522"/>
      <c r="M193" s="264">
        <f>SLOPE(H189:H198,F189:F198)</f>
        <v>1.5577716885101307E-5</v>
      </c>
      <c r="N193" s="265">
        <f>INTERCEPT(H189:H198,F189:F198)</f>
        <v>-9.3177102978781789E-2</v>
      </c>
      <c r="O193" s="426">
        <f t="shared" si="7"/>
        <v>15000</v>
      </c>
      <c r="P193" s="364">
        <f t="shared" si="8"/>
        <v>0.1</v>
      </c>
      <c r="Q193" s="1403">
        <v>-0.1</v>
      </c>
      <c r="R193" s="361">
        <f t="shared" si="9"/>
        <v>0.2</v>
      </c>
    </row>
    <row r="194" spans="1:21" ht="35.1" customHeight="1" x14ac:dyDescent="0.2">
      <c r="B194" s="1516"/>
      <c r="C194" s="262" t="s">
        <v>295</v>
      </c>
      <c r="D194" s="1519"/>
      <c r="E194" s="263" t="s">
        <v>289</v>
      </c>
      <c r="F194" s="355">
        <v>20000</v>
      </c>
      <c r="G194" s="255">
        <v>0.1</v>
      </c>
      <c r="H194" s="1403">
        <v>0.1</v>
      </c>
      <c r="I194" s="1403">
        <v>0.4</v>
      </c>
      <c r="J194" s="1479">
        <v>2</v>
      </c>
      <c r="K194" s="1477">
        <v>45043</v>
      </c>
      <c r="L194" s="1522"/>
      <c r="M194" s="264">
        <f>SLOPE(H189:H198,F189:F198)</f>
        <v>1.5577716885101307E-5</v>
      </c>
      <c r="N194" s="265">
        <f>INTERCEPT(H189:H198,F189:F198)</f>
        <v>-9.3177102978781789E-2</v>
      </c>
      <c r="O194" s="426">
        <f t="shared" si="7"/>
        <v>20000</v>
      </c>
      <c r="P194" s="364">
        <f t="shared" si="8"/>
        <v>0.1</v>
      </c>
      <c r="Q194" s="1403">
        <v>-0.1</v>
      </c>
      <c r="R194" s="429">
        <f t="shared" si="9"/>
        <v>0.2</v>
      </c>
      <c r="S194" s="649">
        <f>(0.3/20000)</f>
        <v>1.4999999999999999E-5</v>
      </c>
      <c r="T194" s="650"/>
      <c r="U194" s="651"/>
    </row>
    <row r="195" spans="1:21" ht="35.1" customHeight="1" x14ac:dyDescent="0.2">
      <c r="B195" s="1516"/>
      <c r="C195" s="262" t="s">
        <v>296</v>
      </c>
      <c r="D195" s="1519"/>
      <c r="E195" s="263" t="s">
        <v>289</v>
      </c>
      <c r="F195" s="355">
        <v>25000</v>
      </c>
      <c r="G195" s="255">
        <v>0.1</v>
      </c>
      <c r="H195" s="1438">
        <v>0.2</v>
      </c>
      <c r="I195" s="1403">
        <v>0.5</v>
      </c>
      <c r="J195" s="1479">
        <v>2</v>
      </c>
      <c r="K195" s="1477">
        <v>45043</v>
      </c>
      <c r="L195" s="1522"/>
      <c r="M195" s="264">
        <f>SLOPE(H189:H198,F189:F198)</f>
        <v>1.5577716885101307E-5</v>
      </c>
      <c r="N195" s="265">
        <f>INTERCEPT(H189:H198,F189:F198)</f>
        <v>-9.3177102978781789E-2</v>
      </c>
      <c r="O195" s="426">
        <f t="shared" si="7"/>
        <v>25000</v>
      </c>
      <c r="P195" s="364">
        <f t="shared" si="8"/>
        <v>0.2</v>
      </c>
      <c r="Q195" s="1403">
        <v>0</v>
      </c>
      <c r="R195" s="361">
        <f t="shared" si="9"/>
        <v>0.2</v>
      </c>
      <c r="T195" s="652"/>
    </row>
    <row r="196" spans="1:21" ht="35.1" customHeight="1" x14ac:dyDescent="0.2">
      <c r="B196" s="1516"/>
      <c r="C196" s="262" t="s">
        <v>297</v>
      </c>
      <c r="D196" s="1519"/>
      <c r="E196" s="263" t="s">
        <v>289</v>
      </c>
      <c r="F196" s="355">
        <v>35000</v>
      </c>
      <c r="G196" s="255">
        <v>0.1</v>
      </c>
      <c r="H196" s="1438">
        <v>0.5</v>
      </c>
      <c r="I196" s="1403">
        <v>0.7</v>
      </c>
      <c r="J196" s="1479">
        <v>2</v>
      </c>
      <c r="K196" s="1477">
        <v>45043</v>
      </c>
      <c r="L196" s="1522"/>
      <c r="M196" s="264">
        <f>SLOPE(H189:H198,F189:F198)</f>
        <v>1.5577716885101307E-5</v>
      </c>
      <c r="N196" s="265">
        <f>INTERCEPT(H189:H198,F189:F198)</f>
        <v>-9.3177102978781789E-2</v>
      </c>
      <c r="O196" s="426">
        <f t="shared" si="7"/>
        <v>35000</v>
      </c>
      <c r="P196" s="364">
        <f t="shared" si="8"/>
        <v>0.5</v>
      </c>
      <c r="Q196" s="1403">
        <v>0</v>
      </c>
      <c r="R196" s="361">
        <f>ABS(P196-Q196)</f>
        <v>0.5</v>
      </c>
    </row>
    <row r="197" spans="1:21" ht="35.1" customHeight="1" x14ac:dyDescent="0.2">
      <c r="B197" s="1516"/>
      <c r="C197" s="262" t="s">
        <v>298</v>
      </c>
      <c r="D197" s="1519"/>
      <c r="E197" s="263" t="s">
        <v>289</v>
      </c>
      <c r="F197" s="355">
        <v>50000</v>
      </c>
      <c r="G197" s="255">
        <v>0.1</v>
      </c>
      <c r="H197" s="1403">
        <v>0.7</v>
      </c>
      <c r="I197" s="1438">
        <v>1</v>
      </c>
      <c r="J197" s="1479">
        <v>2</v>
      </c>
      <c r="K197" s="1477">
        <v>45043</v>
      </c>
      <c r="L197" s="1522"/>
      <c r="M197" s="264">
        <f>SLOPE(H189:H198,F189:F198)</f>
        <v>1.5577716885101307E-5</v>
      </c>
      <c r="N197" s="265">
        <f>INTERCEPT(H189:H198,F189:F198)</f>
        <v>-9.3177102978781789E-2</v>
      </c>
      <c r="O197" s="426">
        <f t="shared" si="7"/>
        <v>50000</v>
      </c>
      <c r="P197" s="364">
        <f t="shared" si="8"/>
        <v>0.7</v>
      </c>
      <c r="Q197" s="1403">
        <v>0.4</v>
      </c>
      <c r="R197" s="361">
        <f>ABS(P197-Q197)</f>
        <v>0.29999999999999993</v>
      </c>
    </row>
    <row r="198" spans="1:21" ht="35.1" customHeight="1" thickBot="1" x14ac:dyDescent="0.25">
      <c r="B198" s="1517"/>
      <c r="C198" s="267" t="s">
        <v>299</v>
      </c>
      <c r="D198" s="1520"/>
      <c r="E198" s="268" t="s">
        <v>289</v>
      </c>
      <c r="F198" s="356">
        <v>60000</v>
      </c>
      <c r="G198" s="258">
        <v>0.1</v>
      </c>
      <c r="H198" s="1394">
        <v>0.9</v>
      </c>
      <c r="I198" s="1394">
        <v>1.2</v>
      </c>
      <c r="J198" s="1480">
        <v>2</v>
      </c>
      <c r="K198" s="1481">
        <v>45043</v>
      </c>
      <c r="L198" s="1523"/>
      <c r="M198" s="269">
        <f>SLOPE(H189:H198,F189:F198)</f>
        <v>1.5577716885101307E-5</v>
      </c>
      <c r="N198" s="270">
        <f>INTERCEPT(H189:H198,F189:F198)</f>
        <v>-9.3177102978781789E-2</v>
      </c>
      <c r="O198" s="427">
        <f t="shared" si="7"/>
        <v>60000</v>
      </c>
      <c r="P198" s="365">
        <f t="shared" si="8"/>
        <v>0.9</v>
      </c>
      <c r="Q198" s="1394">
        <v>0.5</v>
      </c>
      <c r="R198" s="362">
        <f>ABS(P198-Q198)</f>
        <v>0.4</v>
      </c>
    </row>
    <row r="199" spans="1:21" ht="35.1" customHeight="1" thickBot="1" x14ac:dyDescent="0.25"/>
    <row r="200" spans="1:21" ht="35.1" customHeight="1" thickBot="1" x14ac:dyDescent="0.25">
      <c r="A200" s="480"/>
      <c r="B200" s="1494" t="s">
        <v>300</v>
      </c>
      <c r="C200" s="1495"/>
      <c r="D200" s="1495"/>
      <c r="E200" s="1495"/>
      <c r="F200" s="1495"/>
      <c r="G200" s="1495"/>
      <c r="H200" s="1495"/>
      <c r="I200" s="1495"/>
      <c r="J200" s="1495"/>
      <c r="K200" s="1495"/>
      <c r="L200" s="1495"/>
      <c r="M200" s="1495"/>
      <c r="N200" s="1495"/>
      <c r="O200" s="1495"/>
      <c r="P200" s="1495"/>
      <c r="Q200" s="1495"/>
      <c r="R200" s="1496"/>
    </row>
    <row r="201" spans="1:21" ht="64.5" customHeight="1" thickBot="1" x14ac:dyDescent="0.25">
      <c r="A201" s="480"/>
      <c r="C201" s="307"/>
      <c r="D201" s="422" t="s">
        <v>24</v>
      </c>
      <c r="E201" s="185" t="s">
        <v>66</v>
      </c>
      <c r="F201" s="185" t="s">
        <v>301</v>
      </c>
      <c r="G201" s="185" t="s">
        <v>302</v>
      </c>
      <c r="H201" s="185" t="s">
        <v>69</v>
      </c>
      <c r="I201" s="185" t="s">
        <v>70</v>
      </c>
      <c r="J201" s="185" t="s">
        <v>71</v>
      </c>
      <c r="K201" s="493" t="s">
        <v>6</v>
      </c>
      <c r="L201" s="185" t="s">
        <v>72</v>
      </c>
      <c r="M201" s="185" t="s">
        <v>303</v>
      </c>
      <c r="N201" s="185" t="s">
        <v>304</v>
      </c>
      <c r="O201" s="185" t="s">
        <v>80</v>
      </c>
      <c r="P201" s="185" t="s">
        <v>268</v>
      </c>
      <c r="Q201" s="185" t="s">
        <v>269</v>
      </c>
      <c r="R201" s="653" t="s">
        <v>305</v>
      </c>
    </row>
    <row r="202" spans="1:21" ht="35.1" customHeight="1" thickBot="1" x14ac:dyDescent="0.25">
      <c r="A202" s="480"/>
      <c r="D202" s="307"/>
      <c r="E202" s="307"/>
      <c r="F202" s="307"/>
      <c r="G202" s="307"/>
      <c r="H202" s="307"/>
      <c r="I202" s="307"/>
      <c r="J202" s="307"/>
      <c r="K202" s="515"/>
    </row>
    <row r="203" spans="1:21" ht="35.1" customHeight="1" thickBot="1" x14ac:dyDescent="0.25">
      <c r="A203" s="1152" t="s">
        <v>306</v>
      </c>
      <c r="B203" s="1500" t="s">
        <v>307</v>
      </c>
      <c r="C203" s="654" t="s">
        <v>308</v>
      </c>
      <c r="D203" s="791" t="s">
        <v>309</v>
      </c>
      <c r="E203" s="425">
        <v>5678</v>
      </c>
      <c r="F203" s="354">
        <v>8</v>
      </c>
      <c r="G203" s="252" t="s">
        <v>310</v>
      </c>
      <c r="H203" s="357" t="s">
        <v>310</v>
      </c>
      <c r="I203" s="518">
        <v>0.14000000000000001</v>
      </c>
      <c r="J203" s="253">
        <v>2</v>
      </c>
      <c r="K203" s="366" t="s">
        <v>310</v>
      </c>
      <c r="L203" s="655" t="s">
        <v>310</v>
      </c>
      <c r="M203" s="656" t="s">
        <v>310</v>
      </c>
      <c r="N203" s="272" t="s">
        <v>310</v>
      </c>
      <c r="O203" s="425">
        <f>F203</f>
        <v>8</v>
      </c>
      <c r="P203" s="363" t="str">
        <f>H203</f>
        <v>N/A</v>
      </c>
      <c r="Q203" s="357" t="s">
        <v>310</v>
      </c>
      <c r="R203" s="360" t="s">
        <v>310</v>
      </c>
    </row>
    <row r="204" spans="1:21" ht="35.1" customHeight="1" thickBot="1" x14ac:dyDescent="0.25">
      <c r="A204" s="480"/>
      <c r="B204" s="1501"/>
      <c r="C204" s="257"/>
      <c r="D204" s="792"/>
      <c r="E204" s="657"/>
      <c r="F204" s="356"/>
      <c r="G204" s="258"/>
      <c r="H204" s="359"/>
      <c r="I204" s="359"/>
      <c r="J204" s="259"/>
      <c r="K204" s="368"/>
      <c r="L204" s="658"/>
      <c r="M204" s="659"/>
      <c r="N204" s="270"/>
      <c r="O204" s="427"/>
      <c r="P204" s="365"/>
      <c r="Q204" s="359"/>
      <c r="R204" s="362"/>
    </row>
    <row r="205" spans="1:21" ht="35.1" customHeight="1" x14ac:dyDescent="0.2">
      <c r="B205" s="660"/>
      <c r="C205" s="50"/>
      <c r="D205" s="433"/>
      <c r="E205" s="524"/>
      <c r="F205" s="661"/>
      <c r="G205" s="307"/>
      <c r="H205" s="307"/>
      <c r="I205" s="307"/>
      <c r="J205" s="612"/>
      <c r="K205" s="515"/>
      <c r="L205" s="662"/>
      <c r="M205" s="663"/>
      <c r="N205" s="104"/>
      <c r="O205" s="71"/>
      <c r="P205" s="612"/>
      <c r="Q205" s="307"/>
      <c r="R205" s="614"/>
    </row>
    <row r="206" spans="1:21" ht="35.1" customHeight="1" thickBot="1" x14ac:dyDescent="0.25">
      <c r="A206" s="480"/>
      <c r="B206" s="660"/>
      <c r="C206" s="50"/>
      <c r="D206" s="433"/>
      <c r="E206" s="524"/>
      <c r="F206" s="661"/>
      <c r="G206" s="307"/>
      <c r="H206" s="307"/>
      <c r="I206" s="307"/>
      <c r="J206" s="612"/>
      <c r="K206" s="515"/>
      <c r="L206" s="662"/>
      <c r="M206" s="663"/>
      <c r="N206" s="104"/>
      <c r="O206" s="71"/>
      <c r="P206" s="612"/>
      <c r="Q206" s="307"/>
      <c r="R206" s="614"/>
    </row>
    <row r="207" spans="1:21" ht="35.1" customHeight="1" thickBot="1" x14ac:dyDescent="0.25">
      <c r="A207" s="480"/>
      <c r="B207" s="1494" t="s">
        <v>300</v>
      </c>
      <c r="C207" s="1495"/>
      <c r="D207" s="1495"/>
      <c r="E207" s="1495"/>
      <c r="F207" s="1495"/>
      <c r="G207" s="1495"/>
      <c r="H207" s="1495"/>
      <c r="I207" s="1495"/>
      <c r="J207" s="1495"/>
      <c r="K207" s="1495"/>
      <c r="L207" s="1495"/>
      <c r="M207" s="1495"/>
      <c r="N207" s="1495"/>
      <c r="O207" s="1495"/>
      <c r="P207" s="1495"/>
      <c r="Q207" s="1495"/>
      <c r="R207" s="1496"/>
    </row>
    <row r="208" spans="1:21" ht="80.25" customHeight="1" thickBot="1" x14ac:dyDescent="0.25">
      <c r="A208" s="480"/>
      <c r="C208" s="307"/>
      <c r="D208" s="422" t="s">
        <v>24</v>
      </c>
      <c r="E208" s="185" t="s">
        <v>66</v>
      </c>
      <c r="F208" s="185" t="s">
        <v>301</v>
      </c>
      <c r="G208" s="185" t="s">
        <v>311</v>
      </c>
      <c r="H208" s="185" t="s">
        <v>69</v>
      </c>
      <c r="I208" s="185" t="s">
        <v>70</v>
      </c>
      <c r="J208" s="185" t="s">
        <v>71</v>
      </c>
      <c r="K208" s="493" t="s">
        <v>6</v>
      </c>
      <c r="L208" s="185" t="s">
        <v>72</v>
      </c>
      <c r="M208" s="185" t="s">
        <v>303</v>
      </c>
      <c r="N208" s="185" t="s">
        <v>304</v>
      </c>
      <c r="O208" s="185" t="s">
        <v>80</v>
      </c>
      <c r="P208" s="185" t="s">
        <v>268</v>
      </c>
      <c r="Q208" s="185" t="s">
        <v>269</v>
      </c>
      <c r="R208" s="653" t="s">
        <v>305</v>
      </c>
    </row>
    <row r="209" spans="1:23" ht="35.1" customHeight="1" thickBot="1" x14ac:dyDescent="0.25">
      <c r="A209" s="480"/>
      <c r="D209" s="307"/>
      <c r="E209" s="307"/>
      <c r="F209" s="307"/>
      <c r="G209" s="307"/>
      <c r="H209" s="307"/>
      <c r="I209" s="307"/>
      <c r="J209" s="307"/>
      <c r="K209" s="515"/>
    </row>
    <row r="210" spans="1:23" ht="35.1" customHeight="1" thickBot="1" x14ac:dyDescent="0.25">
      <c r="A210" s="1152" t="s">
        <v>312</v>
      </c>
      <c r="B210" s="1500" t="s">
        <v>313</v>
      </c>
      <c r="C210" s="654" t="s">
        <v>314</v>
      </c>
      <c r="D210" s="1511" t="s">
        <v>315</v>
      </c>
      <c r="E210" s="425" t="s">
        <v>316</v>
      </c>
      <c r="F210" s="354" t="s">
        <v>310</v>
      </c>
      <c r="G210" s="664">
        <v>1.0000000000000001E-5</v>
      </c>
      <c r="H210" s="357" t="s">
        <v>310</v>
      </c>
      <c r="I210" s="665">
        <v>4.4999999999999998E-7</v>
      </c>
      <c r="J210" s="253">
        <v>1</v>
      </c>
      <c r="K210" s="366" t="s">
        <v>310</v>
      </c>
      <c r="L210" s="1513" t="s">
        <v>310</v>
      </c>
      <c r="M210" s="656" t="s">
        <v>310</v>
      </c>
      <c r="N210" s="272" t="s">
        <v>310</v>
      </c>
      <c r="O210" s="425" t="str">
        <f>F210</f>
        <v>N/A</v>
      </c>
      <c r="P210" s="363" t="str">
        <f>H210</f>
        <v>N/A</v>
      </c>
      <c r="Q210" s="357" t="s">
        <v>310</v>
      </c>
      <c r="R210" s="360" t="s">
        <v>310</v>
      </c>
    </row>
    <row r="211" spans="1:23" ht="35.1" customHeight="1" thickBot="1" x14ac:dyDescent="0.25">
      <c r="A211" s="480"/>
      <c r="B211" s="1501"/>
      <c r="C211" s="257"/>
      <c r="D211" s="1512"/>
      <c r="E211" s="657"/>
      <c r="F211" s="356"/>
      <c r="G211" s="258"/>
      <c r="H211" s="359"/>
      <c r="I211" s="359"/>
      <c r="J211" s="259"/>
      <c r="K211" s="368"/>
      <c r="L211" s="1514"/>
      <c r="M211" s="659"/>
      <c r="N211" s="270"/>
      <c r="O211" s="427"/>
      <c r="P211" s="365"/>
      <c r="Q211" s="359"/>
      <c r="R211" s="362"/>
    </row>
    <row r="212" spans="1:23" ht="35.1" customHeight="1" x14ac:dyDescent="0.2">
      <c r="G212" s="666"/>
    </row>
    <row r="213" spans="1:23" ht="35.1" customHeight="1" thickBot="1" x14ac:dyDescent="0.25"/>
    <row r="214" spans="1:23" ht="35.1" customHeight="1" thickBot="1" x14ac:dyDescent="0.25">
      <c r="B214" s="1533" t="s">
        <v>317</v>
      </c>
      <c r="C214" s="1585"/>
      <c r="D214" s="1585"/>
      <c r="E214" s="1585"/>
      <c r="F214" s="1585"/>
      <c r="G214" s="1585"/>
      <c r="H214" s="1585"/>
      <c r="I214" s="1585"/>
      <c r="J214" s="1585"/>
      <c r="K214" s="1534"/>
    </row>
    <row r="215" spans="1:23" ht="84.75" customHeight="1" x14ac:dyDescent="0.2">
      <c r="B215" s="1607" t="s">
        <v>318</v>
      </c>
      <c r="C215" s="579" t="s">
        <v>319</v>
      </c>
      <c r="D215" s="579" t="s">
        <v>24</v>
      </c>
      <c r="E215" s="579" t="s">
        <v>320</v>
      </c>
      <c r="F215" s="579" t="s">
        <v>321</v>
      </c>
      <c r="G215" s="577" t="s">
        <v>322</v>
      </c>
      <c r="H215" s="577" t="s">
        <v>323</v>
      </c>
      <c r="I215" s="577" t="s">
        <v>324</v>
      </c>
      <c r="J215" s="577" t="s">
        <v>325</v>
      </c>
      <c r="K215" s="580" t="s">
        <v>326</v>
      </c>
    </row>
    <row r="216" spans="1:23" ht="16.5" thickBot="1" x14ac:dyDescent="0.25">
      <c r="B216" s="1608"/>
      <c r="C216" s="1167"/>
      <c r="D216" s="1167"/>
      <c r="E216" s="1167"/>
      <c r="F216" s="1167"/>
      <c r="G216" s="1167"/>
      <c r="H216" s="1167"/>
      <c r="I216" s="512"/>
      <c r="J216" s="512"/>
      <c r="K216" s="1168"/>
    </row>
    <row r="217" spans="1:23" ht="30" customHeight="1" x14ac:dyDescent="0.2">
      <c r="A217" s="1497" t="s">
        <v>327</v>
      </c>
      <c r="B217" s="396" t="s">
        <v>328</v>
      </c>
      <c r="C217" s="357" t="s">
        <v>329</v>
      </c>
      <c r="D217" s="357" t="s">
        <v>330</v>
      </c>
      <c r="E217" s="357" t="s">
        <v>331</v>
      </c>
      <c r="F217" s="357" t="s">
        <v>332</v>
      </c>
      <c r="G217" s="357">
        <v>4788</v>
      </c>
      <c r="H217" s="366">
        <v>44509</v>
      </c>
      <c r="I217" s="357">
        <v>1</v>
      </c>
      <c r="J217" s="501">
        <v>0.04</v>
      </c>
      <c r="K217" s="397">
        <f t="shared" ref="K217:K222" si="10">I217+(J217)/1000</f>
        <v>1.00004</v>
      </c>
    </row>
    <row r="218" spans="1:23" ht="30" customHeight="1" x14ac:dyDescent="0.2">
      <c r="A218" s="1498"/>
      <c r="B218" s="398" t="s">
        <v>333</v>
      </c>
      <c r="C218" s="358" t="s">
        <v>329</v>
      </c>
      <c r="D218" s="358" t="s">
        <v>330</v>
      </c>
      <c r="E218" s="358" t="s">
        <v>331</v>
      </c>
      <c r="F218" s="358" t="s">
        <v>332</v>
      </c>
      <c r="G218" s="358">
        <v>4788</v>
      </c>
      <c r="H218" s="367">
        <v>44509</v>
      </c>
      <c r="I218" s="358">
        <v>2</v>
      </c>
      <c r="J218" s="535">
        <v>0.03</v>
      </c>
      <c r="K218" s="399">
        <f t="shared" si="10"/>
        <v>2.0000300000000002</v>
      </c>
    </row>
    <row r="219" spans="1:23" ht="30" customHeight="1" thickBot="1" x14ac:dyDescent="0.25">
      <c r="A219" s="1498"/>
      <c r="B219" s="398" t="s">
        <v>334</v>
      </c>
      <c r="C219" s="358" t="s">
        <v>329</v>
      </c>
      <c r="D219" s="358" t="s">
        <v>330</v>
      </c>
      <c r="E219" s="358" t="s">
        <v>331</v>
      </c>
      <c r="F219" s="358" t="s">
        <v>335</v>
      </c>
      <c r="G219" s="358">
        <v>4788</v>
      </c>
      <c r="H219" s="367">
        <v>44509</v>
      </c>
      <c r="I219" s="358">
        <v>2</v>
      </c>
      <c r="J219" s="358">
        <v>0.05</v>
      </c>
      <c r="K219" s="399">
        <f t="shared" si="10"/>
        <v>2.0000499999999999</v>
      </c>
    </row>
    <row r="220" spans="1:23" ht="30" customHeight="1" thickBot="1" x14ac:dyDescent="0.25">
      <c r="A220" s="1498"/>
      <c r="B220" s="398" t="s">
        <v>336</v>
      </c>
      <c r="C220" s="358" t="s">
        <v>329</v>
      </c>
      <c r="D220" s="358" t="s">
        <v>330</v>
      </c>
      <c r="E220" s="358" t="s">
        <v>331</v>
      </c>
      <c r="F220" s="358" t="s">
        <v>332</v>
      </c>
      <c r="G220" s="358">
        <v>4788</v>
      </c>
      <c r="H220" s="367">
        <v>44509</v>
      </c>
      <c r="I220" s="358">
        <v>5</v>
      </c>
      <c r="J220" s="358">
        <v>7.0000000000000007E-2</v>
      </c>
      <c r="K220" s="399">
        <f t="shared" si="10"/>
        <v>5.00007</v>
      </c>
      <c r="N220" s="1648" t="s">
        <v>337</v>
      </c>
      <c r="O220" s="1649"/>
      <c r="P220" s="1650"/>
      <c r="Q220" s="1063" t="s">
        <v>24</v>
      </c>
      <c r="R220" s="1648" t="s">
        <v>338</v>
      </c>
      <c r="S220" s="1650"/>
      <c r="T220" s="1648" t="s">
        <v>339</v>
      </c>
      <c r="U220" s="1649"/>
      <c r="V220" s="1648" t="s">
        <v>340</v>
      </c>
      <c r="W220" s="1650"/>
    </row>
    <row r="221" spans="1:23" ht="30" customHeight="1" x14ac:dyDescent="0.2">
      <c r="A221" s="1498"/>
      <c r="B221" s="398" t="s">
        <v>341</v>
      </c>
      <c r="C221" s="358" t="s">
        <v>329</v>
      </c>
      <c r="D221" s="358" t="s">
        <v>330</v>
      </c>
      <c r="E221" s="358" t="s">
        <v>331</v>
      </c>
      <c r="F221" s="358" t="s">
        <v>332</v>
      </c>
      <c r="G221" s="358">
        <v>4788</v>
      </c>
      <c r="H221" s="367">
        <v>44509</v>
      </c>
      <c r="I221" s="358">
        <v>10</v>
      </c>
      <c r="J221" s="358">
        <v>0.08</v>
      </c>
      <c r="K221" s="399">
        <f t="shared" si="10"/>
        <v>10.000080000000001</v>
      </c>
      <c r="N221" s="1651" t="s">
        <v>342</v>
      </c>
      <c r="O221" s="1652"/>
      <c r="P221" s="1652"/>
      <c r="Q221" s="1169" t="e">
        <f>IF('RT03-F52 ¬ '!C22=60000,"VIBRA",IF('RT03-F52 ¬ '!C22=8100,"RADWAG"))</f>
        <v>#N/A</v>
      </c>
      <c r="R221" s="1653" t="e">
        <f>IF(Q221="VIBRA","5 g a 60 kg",IF(Q221="RADWAG","0,5 g a 8 100 g"))</f>
        <v>#N/A</v>
      </c>
      <c r="S221" s="1654"/>
      <c r="T221" s="1655" t="e">
        <f>IF(Q221="VIBRA","202046001",IF(Q221="RADWAG","641587"))</f>
        <v>#N/A</v>
      </c>
      <c r="U221" s="1652"/>
      <c r="V221" s="1655" t="e">
        <f>IF(Q221="VIBRA",L189,IF(Q221="RADWAG",L178))</f>
        <v>#N/A</v>
      </c>
      <c r="W221" s="1656"/>
    </row>
    <row r="222" spans="1:23" ht="30" customHeight="1" x14ac:dyDescent="0.2">
      <c r="A222" s="1498"/>
      <c r="B222" s="398" t="s">
        <v>343</v>
      </c>
      <c r="C222" s="358" t="s">
        <v>329</v>
      </c>
      <c r="D222" s="358" t="s">
        <v>330</v>
      </c>
      <c r="E222" s="358" t="s">
        <v>331</v>
      </c>
      <c r="F222" s="358" t="s">
        <v>332</v>
      </c>
      <c r="G222" s="358">
        <v>4788</v>
      </c>
      <c r="H222" s="367">
        <v>44509</v>
      </c>
      <c r="I222" s="358">
        <v>20</v>
      </c>
      <c r="J222" s="358">
        <v>0.11</v>
      </c>
      <c r="K222" s="399">
        <f t="shared" si="10"/>
        <v>20.000109999999999</v>
      </c>
      <c r="N222" s="1657" t="s">
        <v>344</v>
      </c>
      <c r="O222" s="1658"/>
      <c r="P222" s="1658"/>
      <c r="Q222" s="1170" t="e">
        <f>VLOOKUP('RT03-F52 ¬ '!S8,'DATOS ¬'!C38:D60,2,FALSE)</f>
        <v>#N/A</v>
      </c>
      <c r="R222" s="1659" t="e">
        <f>IF(Q222="Lufft ","-150 °C a 400 °C",IF(Q222="YOWEXA","-200 °C a 800 °C"))</f>
        <v>#N/A</v>
      </c>
      <c r="S222" s="1660"/>
      <c r="T222" s="1661" t="e">
        <f>VLOOKUP('RT03-F52 ¬ '!S8,'DATOS ¬'!C38:E60,3,FALSE)</f>
        <v>#N/A</v>
      </c>
      <c r="U222" s="1658"/>
      <c r="V222" s="1661" t="e">
        <f>VLOOKUP('RT03-F52 ¬ '!S8,'DATOS ¬'!C38:L60,10,FALSE)</f>
        <v>#N/A</v>
      </c>
      <c r="W222" s="1662"/>
    </row>
    <row r="223" spans="1:23" ht="30" customHeight="1" x14ac:dyDescent="0.2">
      <c r="A223" s="1498"/>
      <c r="B223" s="398" t="s">
        <v>345</v>
      </c>
      <c r="C223" s="358" t="s">
        <v>329</v>
      </c>
      <c r="D223" s="358" t="s">
        <v>330</v>
      </c>
      <c r="E223" s="358" t="s">
        <v>331</v>
      </c>
      <c r="F223" s="358" t="s">
        <v>335</v>
      </c>
      <c r="G223" s="358">
        <v>4788</v>
      </c>
      <c r="H223" s="367">
        <v>44509</v>
      </c>
      <c r="I223" s="358">
        <v>20</v>
      </c>
      <c r="J223" s="535">
        <v>0.1</v>
      </c>
      <c r="K223" s="399">
        <f t="shared" ref="K223:K234" si="11">I223+(J223)/1000</f>
        <v>20.0001</v>
      </c>
      <c r="N223" s="1657" t="s">
        <v>346</v>
      </c>
      <c r="O223" s="1658"/>
      <c r="P223" s="1658"/>
      <c r="Q223" s="1170" t="e">
        <f>VLOOKUP('RT03-F52 ¬ '!S23,'DATOS ¬'!C68:L118,2,FALSE)</f>
        <v>#N/A</v>
      </c>
      <c r="R223" s="1659" t="s">
        <v>347</v>
      </c>
      <c r="S223" s="1660"/>
      <c r="T223" s="1661" t="e">
        <f>VLOOKUP('RT03-F52 ¬ '!S23,'DATOS ¬'!C68:L118,3,FALSE)</f>
        <v>#N/A</v>
      </c>
      <c r="U223" s="1658"/>
      <c r="V223" s="1661" t="e">
        <f>VLOOKUP('RT03-F52 ¬ '!S23,'DATOS ¬'!C68:M118,11,FALSE)</f>
        <v>#N/A</v>
      </c>
      <c r="W223" s="1662"/>
    </row>
    <row r="224" spans="1:23" ht="30" customHeight="1" thickBot="1" x14ac:dyDescent="0.25">
      <c r="A224" s="1498"/>
      <c r="B224" s="398" t="s">
        <v>348</v>
      </c>
      <c r="C224" s="358" t="s">
        <v>329</v>
      </c>
      <c r="D224" s="358" t="s">
        <v>330</v>
      </c>
      <c r="E224" s="358" t="s">
        <v>331</v>
      </c>
      <c r="F224" s="358" t="s">
        <v>332</v>
      </c>
      <c r="G224" s="358">
        <v>4788</v>
      </c>
      <c r="H224" s="367">
        <v>44509</v>
      </c>
      <c r="I224" s="358">
        <v>50</v>
      </c>
      <c r="J224" s="535">
        <v>0.08</v>
      </c>
      <c r="K224" s="399">
        <f t="shared" si="11"/>
        <v>50.000079999999997</v>
      </c>
      <c r="N224" s="1641" t="s">
        <v>349</v>
      </c>
      <c r="O224" s="1642"/>
      <c r="P224" s="1642"/>
      <c r="Q224" s="1171" t="s">
        <v>310</v>
      </c>
      <c r="R224" s="1643" t="s">
        <v>310</v>
      </c>
      <c r="S224" s="1644"/>
      <c r="T224" s="1645" t="s">
        <v>310</v>
      </c>
      <c r="U224" s="1646"/>
      <c r="V224" s="1642" t="s">
        <v>350</v>
      </c>
      <c r="W224" s="1647"/>
    </row>
    <row r="225" spans="1:77" ht="30" customHeight="1" x14ac:dyDescent="0.2">
      <c r="A225" s="1498"/>
      <c r="B225" s="398" t="s">
        <v>351</v>
      </c>
      <c r="C225" s="358" t="s">
        <v>329</v>
      </c>
      <c r="D225" s="358" t="s">
        <v>330</v>
      </c>
      <c r="E225" s="358" t="s">
        <v>331</v>
      </c>
      <c r="F225" s="358" t="s">
        <v>332</v>
      </c>
      <c r="G225" s="358">
        <v>4788</v>
      </c>
      <c r="H225" s="367">
        <v>44509</v>
      </c>
      <c r="I225" s="358">
        <v>100</v>
      </c>
      <c r="J225" s="358">
        <v>0.11</v>
      </c>
      <c r="K225" s="399">
        <f t="shared" si="11"/>
        <v>100.00011000000001</v>
      </c>
    </row>
    <row r="226" spans="1:77" ht="30" customHeight="1" x14ac:dyDescent="0.2">
      <c r="A226" s="1498"/>
      <c r="B226" s="398" t="s">
        <v>352</v>
      </c>
      <c r="C226" s="358" t="s">
        <v>329</v>
      </c>
      <c r="D226" s="358" t="s">
        <v>330</v>
      </c>
      <c r="E226" s="358" t="s">
        <v>331</v>
      </c>
      <c r="F226" s="358" t="s">
        <v>332</v>
      </c>
      <c r="G226" s="358">
        <v>4788</v>
      </c>
      <c r="H226" s="367">
        <v>44509</v>
      </c>
      <c r="I226" s="358">
        <v>200</v>
      </c>
      <c r="J226" s="358">
        <v>0.3</v>
      </c>
      <c r="K226" s="399">
        <f t="shared" si="11"/>
        <v>200.00030000000001</v>
      </c>
    </row>
    <row r="227" spans="1:77" ht="30" customHeight="1" x14ac:dyDescent="0.2">
      <c r="A227" s="1498"/>
      <c r="B227" s="398" t="s">
        <v>353</v>
      </c>
      <c r="C227" s="358" t="s">
        <v>329</v>
      </c>
      <c r="D227" s="358" t="s">
        <v>330</v>
      </c>
      <c r="E227" s="358" t="s">
        <v>331</v>
      </c>
      <c r="F227" s="358" t="s">
        <v>335</v>
      </c>
      <c r="G227" s="358">
        <v>4788</v>
      </c>
      <c r="H227" s="367">
        <v>44509</v>
      </c>
      <c r="I227" s="358">
        <v>200</v>
      </c>
      <c r="J227" s="358">
        <v>0.3</v>
      </c>
      <c r="K227" s="399">
        <f t="shared" si="11"/>
        <v>200.00030000000001</v>
      </c>
    </row>
    <row r="228" spans="1:77" ht="30" customHeight="1" x14ac:dyDescent="0.2">
      <c r="A228" s="1498"/>
      <c r="B228" s="398" t="s">
        <v>354</v>
      </c>
      <c r="C228" s="358" t="s">
        <v>329</v>
      </c>
      <c r="D228" s="358" t="s">
        <v>330</v>
      </c>
      <c r="E228" s="358" t="s">
        <v>331</v>
      </c>
      <c r="F228" s="358" t="s">
        <v>332</v>
      </c>
      <c r="G228" s="358">
        <v>4788</v>
      </c>
      <c r="H228" s="367">
        <v>44509</v>
      </c>
      <c r="I228" s="358">
        <v>500</v>
      </c>
      <c r="J228" s="358">
        <v>0.8</v>
      </c>
      <c r="K228" s="399">
        <f t="shared" si="11"/>
        <v>500.00080000000003</v>
      </c>
    </row>
    <row r="229" spans="1:77" ht="30" customHeight="1" x14ac:dyDescent="0.2">
      <c r="A229" s="1498"/>
      <c r="B229" s="398" t="s">
        <v>355</v>
      </c>
      <c r="C229" s="358" t="s">
        <v>329</v>
      </c>
      <c r="D229" s="358" t="s">
        <v>330</v>
      </c>
      <c r="E229" s="358" t="s">
        <v>331</v>
      </c>
      <c r="F229" s="358" t="s">
        <v>332</v>
      </c>
      <c r="G229" s="358">
        <v>4788</v>
      </c>
      <c r="H229" s="367">
        <v>44509</v>
      </c>
      <c r="I229" s="400">
        <v>1000</v>
      </c>
      <c r="J229" s="364">
        <v>-0.6</v>
      </c>
      <c r="K229" s="399">
        <f t="shared" si="11"/>
        <v>999.99940000000004</v>
      </c>
    </row>
    <row r="230" spans="1:77" ht="30" customHeight="1" x14ac:dyDescent="0.2">
      <c r="A230" s="1498"/>
      <c r="B230" s="398" t="s">
        <v>356</v>
      </c>
      <c r="C230" s="358" t="s">
        <v>329</v>
      </c>
      <c r="D230" s="358" t="s">
        <v>330</v>
      </c>
      <c r="E230" s="358" t="s">
        <v>331</v>
      </c>
      <c r="F230" s="358" t="s">
        <v>332</v>
      </c>
      <c r="G230" s="358">
        <v>4788</v>
      </c>
      <c r="H230" s="367">
        <v>44509</v>
      </c>
      <c r="I230" s="400">
        <v>2000</v>
      </c>
      <c r="J230" s="364">
        <v>3.1</v>
      </c>
      <c r="K230" s="399">
        <f t="shared" si="11"/>
        <v>2000.0030999999999</v>
      </c>
    </row>
    <row r="231" spans="1:77" ht="30" customHeight="1" x14ac:dyDescent="0.2">
      <c r="A231" s="1498"/>
      <c r="B231" s="398" t="s">
        <v>357</v>
      </c>
      <c r="C231" s="358" t="s">
        <v>329</v>
      </c>
      <c r="D231" s="358" t="s">
        <v>330</v>
      </c>
      <c r="E231" s="358" t="s">
        <v>331</v>
      </c>
      <c r="F231" s="358" t="s">
        <v>335</v>
      </c>
      <c r="G231" s="358">
        <v>4788</v>
      </c>
      <c r="H231" s="367">
        <v>44509</v>
      </c>
      <c r="I231" s="400">
        <v>2000</v>
      </c>
      <c r="J231" s="358">
        <v>3.2</v>
      </c>
      <c r="K231" s="399">
        <f t="shared" si="11"/>
        <v>2000.0032000000001</v>
      </c>
    </row>
    <row r="232" spans="1:77" ht="30" customHeight="1" x14ac:dyDescent="0.25">
      <c r="A232" s="1498"/>
      <c r="B232" s="398" t="s">
        <v>358</v>
      </c>
      <c r="C232" s="358" t="s">
        <v>329</v>
      </c>
      <c r="D232" s="358" t="s">
        <v>330</v>
      </c>
      <c r="E232" s="358" t="s">
        <v>331</v>
      </c>
      <c r="F232" s="358" t="s">
        <v>335</v>
      </c>
      <c r="G232" s="358">
        <v>4788</v>
      </c>
      <c r="H232" s="367">
        <v>44509</v>
      </c>
      <c r="I232" s="400">
        <v>4000</v>
      </c>
      <c r="J232" s="364">
        <f>SUM(J230:J231)</f>
        <v>6.3000000000000007</v>
      </c>
      <c r="K232" s="399">
        <f t="shared" si="11"/>
        <v>4000.0063</v>
      </c>
      <c r="BV232" s="434"/>
      <c r="BW232" s="434"/>
      <c r="BX232" s="434"/>
      <c r="BY232" s="434"/>
    </row>
    <row r="233" spans="1:77" ht="30" customHeight="1" x14ac:dyDescent="0.25">
      <c r="A233" s="1498"/>
      <c r="B233" s="398" t="s">
        <v>359</v>
      </c>
      <c r="C233" s="358" t="s">
        <v>329</v>
      </c>
      <c r="D233" s="358" t="s">
        <v>330</v>
      </c>
      <c r="E233" s="358" t="s">
        <v>331</v>
      </c>
      <c r="F233" s="358" t="s">
        <v>332</v>
      </c>
      <c r="G233" s="358">
        <v>4788</v>
      </c>
      <c r="H233" s="367">
        <v>44509</v>
      </c>
      <c r="I233" s="400">
        <v>5000</v>
      </c>
      <c r="J233" s="358">
        <v>7.8</v>
      </c>
      <c r="K233" s="399">
        <f t="shared" si="11"/>
        <v>5000.0078000000003</v>
      </c>
      <c r="BV233" s="434"/>
      <c r="BW233" s="434"/>
      <c r="BX233" s="434"/>
      <c r="BY233" s="434"/>
    </row>
    <row r="234" spans="1:77" ht="30" customHeight="1" x14ac:dyDescent="0.25">
      <c r="A234" s="1498"/>
      <c r="B234" s="398" t="s">
        <v>360</v>
      </c>
      <c r="C234" s="358" t="s">
        <v>329</v>
      </c>
      <c r="D234" s="358" t="s">
        <v>330</v>
      </c>
      <c r="E234" s="358" t="s">
        <v>331</v>
      </c>
      <c r="F234" s="358" t="s">
        <v>335</v>
      </c>
      <c r="G234" s="358">
        <v>4788</v>
      </c>
      <c r="H234" s="367">
        <v>44509</v>
      </c>
      <c r="I234" s="400">
        <v>6000</v>
      </c>
      <c r="J234" s="364">
        <f>J233+J229</f>
        <v>7.2</v>
      </c>
      <c r="K234" s="399">
        <f t="shared" si="11"/>
        <v>6000.0072</v>
      </c>
      <c r="BV234" s="434"/>
      <c r="BW234" s="434"/>
      <c r="BX234" s="434"/>
      <c r="BY234" s="434"/>
    </row>
    <row r="235" spans="1:77" ht="30" customHeight="1" x14ac:dyDescent="0.25">
      <c r="A235" s="1498"/>
      <c r="B235" s="398" t="s">
        <v>361</v>
      </c>
      <c r="C235" s="358" t="s">
        <v>362</v>
      </c>
      <c r="D235" s="358" t="s">
        <v>330</v>
      </c>
      <c r="E235" s="358" t="s">
        <v>331</v>
      </c>
      <c r="F235" s="358" t="s">
        <v>335</v>
      </c>
      <c r="G235" s="358">
        <v>4788</v>
      </c>
      <c r="H235" s="367">
        <v>44509</v>
      </c>
      <c r="I235" s="400">
        <f>I233+I230+I228</f>
        <v>7500</v>
      </c>
      <c r="J235" s="400">
        <f>J233+J230+J228</f>
        <v>11.700000000000001</v>
      </c>
      <c r="K235" s="399">
        <f>I235+(J235)/1000</f>
        <v>7500.0117</v>
      </c>
      <c r="BV235" s="434"/>
      <c r="BW235" s="434"/>
      <c r="BX235" s="434"/>
      <c r="BY235" s="434"/>
    </row>
    <row r="236" spans="1:77" ht="30" customHeight="1" thickBot="1" x14ac:dyDescent="0.25">
      <c r="A236" s="1499"/>
      <c r="B236" s="667" t="s">
        <v>363</v>
      </c>
      <c r="C236" s="668" t="s">
        <v>362</v>
      </c>
      <c r="D236" s="668" t="s">
        <v>330</v>
      </c>
      <c r="E236" s="668" t="s">
        <v>331</v>
      </c>
      <c r="F236" s="668" t="s">
        <v>335</v>
      </c>
      <c r="G236" s="358">
        <v>4788</v>
      </c>
      <c r="H236" s="367">
        <v>44509</v>
      </c>
      <c r="I236" s="669">
        <f>I233+I230+I229+I226</f>
        <v>8200</v>
      </c>
      <c r="J236" s="669">
        <f>J233+J230+J229+J226</f>
        <v>10.600000000000001</v>
      </c>
      <c r="K236" s="670">
        <f t="shared" ref="K236:K247" si="12">I236+(J236)/1000</f>
        <v>8200.0105999999996</v>
      </c>
    </row>
    <row r="237" spans="1:77" ht="30" customHeight="1" x14ac:dyDescent="0.2">
      <c r="A237" s="1497" t="s">
        <v>364</v>
      </c>
      <c r="B237" s="396" t="s">
        <v>365</v>
      </c>
      <c r="C237" s="357" t="s">
        <v>366</v>
      </c>
      <c r="D237" s="357" t="s">
        <v>367</v>
      </c>
      <c r="E237" s="357" t="s">
        <v>368</v>
      </c>
      <c r="F237" s="357" t="s">
        <v>332</v>
      </c>
      <c r="G237" s="357">
        <v>5407</v>
      </c>
      <c r="H237" s="366">
        <v>44441</v>
      </c>
      <c r="I237" s="401">
        <v>20000</v>
      </c>
      <c r="J237" s="363">
        <v>2</v>
      </c>
      <c r="K237" s="397">
        <f t="shared" si="12"/>
        <v>20000.002</v>
      </c>
    </row>
    <row r="238" spans="1:77" ht="30" customHeight="1" x14ac:dyDescent="0.2">
      <c r="A238" s="1498"/>
      <c r="B238" s="398" t="s">
        <v>369</v>
      </c>
      <c r="C238" s="358" t="s">
        <v>370</v>
      </c>
      <c r="D238" s="358" t="s">
        <v>367</v>
      </c>
      <c r="E238" s="358" t="s">
        <v>371</v>
      </c>
      <c r="F238" s="358">
        <v>20</v>
      </c>
      <c r="G238" s="358">
        <v>5408</v>
      </c>
      <c r="H238" s="367">
        <v>44441</v>
      </c>
      <c r="I238" s="400">
        <v>20000</v>
      </c>
      <c r="J238" s="364">
        <v>39</v>
      </c>
      <c r="K238" s="399">
        <f t="shared" si="12"/>
        <v>20000.039000000001</v>
      </c>
    </row>
    <row r="239" spans="1:77" ht="30" customHeight="1" x14ac:dyDescent="0.2">
      <c r="A239" s="1498"/>
      <c r="B239" s="398" t="s">
        <v>372</v>
      </c>
      <c r="C239" s="358" t="s">
        <v>370</v>
      </c>
      <c r="D239" s="358" t="s">
        <v>367</v>
      </c>
      <c r="E239" s="358" t="s">
        <v>373</v>
      </c>
      <c r="F239" s="358" t="s">
        <v>374</v>
      </c>
      <c r="G239" s="358">
        <v>5410</v>
      </c>
      <c r="H239" s="367">
        <v>44441</v>
      </c>
      <c r="I239" s="400">
        <v>20000</v>
      </c>
      <c r="J239" s="364">
        <v>5</v>
      </c>
      <c r="K239" s="399">
        <f t="shared" si="12"/>
        <v>20000.005000000001</v>
      </c>
    </row>
    <row r="240" spans="1:77" ht="30" customHeight="1" x14ac:dyDescent="0.2">
      <c r="A240" s="1498"/>
      <c r="B240" s="398" t="s">
        <v>375</v>
      </c>
      <c r="C240" s="358" t="s">
        <v>370</v>
      </c>
      <c r="D240" s="358" t="s">
        <v>367</v>
      </c>
      <c r="E240" s="358" t="s">
        <v>376</v>
      </c>
      <c r="F240" s="358" t="s">
        <v>377</v>
      </c>
      <c r="G240" s="358">
        <v>5411</v>
      </c>
      <c r="H240" s="367">
        <v>44441</v>
      </c>
      <c r="I240" s="400">
        <v>20000</v>
      </c>
      <c r="J240" s="364">
        <v>40</v>
      </c>
      <c r="K240" s="399">
        <f t="shared" si="12"/>
        <v>20000.04</v>
      </c>
    </row>
    <row r="241" spans="1:11" ht="30" customHeight="1" x14ac:dyDescent="0.2">
      <c r="A241" s="1498"/>
      <c r="B241" s="398" t="s">
        <v>378</v>
      </c>
      <c r="C241" s="358" t="s">
        <v>370</v>
      </c>
      <c r="D241" s="358" t="s">
        <v>379</v>
      </c>
      <c r="E241" s="358">
        <v>1913624</v>
      </c>
      <c r="F241" s="358" t="s">
        <v>380</v>
      </c>
      <c r="G241" s="358">
        <v>5264</v>
      </c>
      <c r="H241" s="367">
        <v>44350</v>
      </c>
      <c r="I241" s="400">
        <v>10000</v>
      </c>
      <c r="J241" s="364">
        <v>-8</v>
      </c>
      <c r="K241" s="399">
        <f t="shared" si="12"/>
        <v>9999.9920000000002</v>
      </c>
    </row>
    <row r="242" spans="1:11" ht="30" customHeight="1" x14ac:dyDescent="0.2">
      <c r="A242" s="1498"/>
      <c r="B242" s="398" t="s">
        <v>381</v>
      </c>
      <c r="C242" s="358" t="s">
        <v>370</v>
      </c>
      <c r="D242" s="358" t="s">
        <v>379</v>
      </c>
      <c r="E242" s="358">
        <v>1913626</v>
      </c>
      <c r="F242" s="358" t="s">
        <v>382</v>
      </c>
      <c r="G242" s="358">
        <v>5261</v>
      </c>
      <c r="H242" s="367">
        <v>44347</v>
      </c>
      <c r="I242" s="400">
        <v>10000</v>
      </c>
      <c r="J242" s="364">
        <v>-9</v>
      </c>
      <c r="K242" s="399">
        <f t="shared" si="12"/>
        <v>9999.991</v>
      </c>
    </row>
    <row r="243" spans="1:11" ht="30" customHeight="1" x14ac:dyDescent="0.2">
      <c r="A243" s="1498"/>
      <c r="B243" s="398" t="s">
        <v>383</v>
      </c>
      <c r="C243" s="358" t="s">
        <v>370</v>
      </c>
      <c r="D243" s="358" t="s">
        <v>379</v>
      </c>
      <c r="E243" s="358">
        <v>1913622</v>
      </c>
      <c r="F243" s="358" t="s">
        <v>384</v>
      </c>
      <c r="G243" s="358">
        <v>5266</v>
      </c>
      <c r="H243" s="367">
        <v>44355</v>
      </c>
      <c r="I243" s="400">
        <v>5000</v>
      </c>
      <c r="J243" s="364">
        <v>3</v>
      </c>
      <c r="K243" s="399">
        <f t="shared" si="12"/>
        <v>5000.0029999999997</v>
      </c>
    </row>
    <row r="244" spans="1:11" ht="30" customHeight="1" x14ac:dyDescent="0.2">
      <c r="A244" s="1498"/>
      <c r="B244" s="398" t="s">
        <v>385</v>
      </c>
      <c r="C244" s="358" t="s">
        <v>370</v>
      </c>
      <c r="D244" s="358" t="s">
        <v>379</v>
      </c>
      <c r="E244" s="358" t="s">
        <v>386</v>
      </c>
      <c r="F244" s="358" t="s">
        <v>387</v>
      </c>
      <c r="G244" s="358" t="s">
        <v>388</v>
      </c>
      <c r="H244" s="367" t="s">
        <v>389</v>
      </c>
      <c r="I244" s="400">
        <v>15000</v>
      </c>
      <c r="J244" s="364">
        <f>J241+J243</f>
        <v>-5</v>
      </c>
      <c r="K244" s="399">
        <f t="shared" si="12"/>
        <v>14999.995000000001</v>
      </c>
    </row>
    <row r="245" spans="1:11" ht="30" customHeight="1" x14ac:dyDescent="0.2">
      <c r="A245" s="1498"/>
      <c r="B245" s="398" t="s">
        <v>390</v>
      </c>
      <c r="C245" s="358" t="s">
        <v>370</v>
      </c>
      <c r="D245" s="358" t="s">
        <v>391</v>
      </c>
      <c r="E245" s="358" t="s">
        <v>392</v>
      </c>
      <c r="F245" s="358" t="s">
        <v>393</v>
      </c>
      <c r="G245" s="358" t="s">
        <v>394</v>
      </c>
      <c r="H245" s="367" t="s">
        <v>395</v>
      </c>
      <c r="I245" s="400">
        <v>25000</v>
      </c>
      <c r="J245" s="364">
        <f>J240+J243</f>
        <v>43</v>
      </c>
      <c r="K245" s="399">
        <f t="shared" si="12"/>
        <v>25000.043000000001</v>
      </c>
    </row>
    <row r="246" spans="1:11" ht="30" customHeight="1" x14ac:dyDescent="0.2">
      <c r="A246" s="1498"/>
      <c r="B246" s="398" t="s">
        <v>396</v>
      </c>
      <c r="C246" s="358" t="s">
        <v>370</v>
      </c>
      <c r="D246" s="358" t="s">
        <v>391</v>
      </c>
      <c r="E246" s="358" t="s">
        <v>397</v>
      </c>
      <c r="F246" s="358" t="s">
        <v>398</v>
      </c>
      <c r="G246" s="358" t="s">
        <v>399</v>
      </c>
      <c r="H246" s="367" t="s">
        <v>400</v>
      </c>
      <c r="I246" s="400">
        <v>35000</v>
      </c>
      <c r="J246" s="364">
        <f>J240+J241+J243</f>
        <v>35</v>
      </c>
      <c r="K246" s="399">
        <f t="shared" si="12"/>
        <v>35000.035000000003</v>
      </c>
    </row>
    <row r="247" spans="1:11" ht="35.1" customHeight="1" thickBot="1" x14ac:dyDescent="0.25">
      <c r="A247" s="1499"/>
      <c r="B247" s="402" t="s">
        <v>401</v>
      </c>
      <c r="C247" s="359" t="s">
        <v>370</v>
      </c>
      <c r="D247" s="359" t="s">
        <v>367</v>
      </c>
      <c r="E247" s="359" t="s">
        <v>402</v>
      </c>
      <c r="F247" s="359" t="s">
        <v>403</v>
      </c>
      <c r="G247" s="359" t="s">
        <v>404</v>
      </c>
      <c r="H247" s="368" t="s">
        <v>405</v>
      </c>
      <c r="I247" s="403">
        <v>60000</v>
      </c>
      <c r="J247" s="365">
        <f>J238+J239+J240</f>
        <v>84</v>
      </c>
      <c r="K247" s="404">
        <f t="shared" si="12"/>
        <v>60000.084000000003</v>
      </c>
    </row>
  </sheetData>
  <sheetProtection password="CF5C" sheet="1" objects="1" scenarios="1"/>
  <dataConsolidate/>
  <mergeCells count="136">
    <mergeCell ref="L107:L109"/>
    <mergeCell ref="O101:O103"/>
    <mergeCell ref="N223:P223"/>
    <mergeCell ref="R223:S223"/>
    <mergeCell ref="T223:U223"/>
    <mergeCell ref="V223:W223"/>
    <mergeCell ref="B50:B54"/>
    <mergeCell ref="B56:B60"/>
    <mergeCell ref="O90:O92"/>
    <mergeCell ref="A74:B76"/>
    <mergeCell ref="A101:B103"/>
    <mergeCell ref="L85:L87"/>
    <mergeCell ref="L96:L98"/>
    <mergeCell ref="L74:L76"/>
    <mergeCell ref="L71:L73"/>
    <mergeCell ref="A93:B95"/>
    <mergeCell ref="L82:L84"/>
    <mergeCell ref="A82:B84"/>
    <mergeCell ref="A96:B98"/>
    <mergeCell ref="L90:L92"/>
    <mergeCell ref="A90:B92"/>
    <mergeCell ref="L93:L95"/>
    <mergeCell ref="L79:L81"/>
    <mergeCell ref="L101:L103"/>
    <mergeCell ref="N224:P224"/>
    <mergeCell ref="R224:S224"/>
    <mergeCell ref="T224:U224"/>
    <mergeCell ref="V224:W224"/>
    <mergeCell ref="N220:P220"/>
    <mergeCell ref="R220:S220"/>
    <mergeCell ref="T220:U220"/>
    <mergeCell ref="V220:W220"/>
    <mergeCell ref="N221:P221"/>
    <mergeCell ref="R221:S221"/>
    <mergeCell ref="T221:U221"/>
    <mergeCell ref="V221:W221"/>
    <mergeCell ref="N222:P222"/>
    <mergeCell ref="R222:S222"/>
    <mergeCell ref="T222:U222"/>
    <mergeCell ref="V222:W222"/>
    <mergeCell ref="D38:D42"/>
    <mergeCell ref="L38:L42"/>
    <mergeCell ref="B214:K214"/>
    <mergeCell ref="B215:B216"/>
    <mergeCell ref="B29:B32"/>
    <mergeCell ref="B38:B42"/>
    <mergeCell ref="S32:V32"/>
    <mergeCell ref="B35:R35"/>
    <mergeCell ref="B44:B48"/>
    <mergeCell ref="L68:L70"/>
    <mergeCell ref="O66:O67"/>
    <mergeCell ref="P66:R67"/>
    <mergeCell ref="O69:O71"/>
    <mergeCell ref="O79:O81"/>
    <mergeCell ref="D44:D48"/>
    <mergeCell ref="D50:D54"/>
    <mergeCell ref="L50:L54"/>
    <mergeCell ref="L44:L48"/>
    <mergeCell ref="D56:D60"/>
    <mergeCell ref="L56:L60"/>
    <mergeCell ref="C63:R64"/>
    <mergeCell ref="C65:R65"/>
    <mergeCell ref="D112:D120"/>
    <mergeCell ref="D101:D109"/>
    <mergeCell ref="E1:V1"/>
    <mergeCell ref="V30:V31"/>
    <mergeCell ref="S30:S31"/>
    <mergeCell ref="T30:T31"/>
    <mergeCell ref="Q8:U8"/>
    <mergeCell ref="S9:U9"/>
    <mergeCell ref="P7:U7"/>
    <mergeCell ref="Q9:R9"/>
    <mergeCell ref="T14:V14"/>
    <mergeCell ref="D5:N5"/>
    <mergeCell ref="B11:N12"/>
    <mergeCell ref="B28:O28"/>
    <mergeCell ref="B21:O21"/>
    <mergeCell ref="A1:D1"/>
    <mergeCell ref="Q24:W25"/>
    <mergeCell ref="A85:B87"/>
    <mergeCell ref="A71:B73"/>
    <mergeCell ref="A79:B81"/>
    <mergeCell ref="E101:E109"/>
    <mergeCell ref="D90:D98"/>
    <mergeCell ref="E90:E98"/>
    <mergeCell ref="E79:E87"/>
    <mergeCell ref="D79:D87"/>
    <mergeCell ref="D68:D76"/>
    <mergeCell ref="E68:E76"/>
    <mergeCell ref="A68:B70"/>
    <mergeCell ref="A112:B114"/>
    <mergeCell ref="O112:O114"/>
    <mergeCell ref="L112:L114"/>
    <mergeCell ref="AH131:AI131"/>
    <mergeCell ref="O154:Q154"/>
    <mergeCell ref="O160:Q160"/>
    <mergeCell ref="O166:Q166"/>
    <mergeCell ref="AC131:AF131"/>
    <mergeCell ref="AC132:AF132"/>
    <mergeCell ref="N140:O140"/>
    <mergeCell ref="B140:B147"/>
    <mergeCell ref="B131:B137"/>
    <mergeCell ref="B166:B172"/>
    <mergeCell ref="B158:B164"/>
    <mergeCell ref="B155:L155"/>
    <mergeCell ref="D158:D164"/>
    <mergeCell ref="D166:D172"/>
    <mergeCell ref="B150:B152"/>
    <mergeCell ref="O148:Q148"/>
    <mergeCell ref="B149:L149"/>
    <mergeCell ref="B139:AA139"/>
    <mergeCell ref="E112:E120"/>
    <mergeCell ref="B175:S175"/>
    <mergeCell ref="A217:A236"/>
    <mergeCell ref="A237:A247"/>
    <mergeCell ref="B203:B204"/>
    <mergeCell ref="B200:R200"/>
    <mergeCell ref="B207:R207"/>
    <mergeCell ref="A107:B109"/>
    <mergeCell ref="A104:B106"/>
    <mergeCell ref="L104:L106"/>
    <mergeCell ref="B210:B211"/>
    <mergeCell ref="D210:D211"/>
    <mergeCell ref="L210:L211"/>
    <mergeCell ref="B178:B187"/>
    <mergeCell ref="D178:D187"/>
    <mergeCell ref="L178:L187"/>
    <mergeCell ref="B189:B198"/>
    <mergeCell ref="D189:D198"/>
    <mergeCell ref="L189:L198"/>
    <mergeCell ref="O172:Q172"/>
    <mergeCell ref="A115:B117"/>
    <mergeCell ref="L115:L117"/>
    <mergeCell ref="B130:W130"/>
    <mergeCell ref="A118:B120"/>
    <mergeCell ref="L118:L120"/>
  </mergeCells>
  <dataValidations count="3">
    <dataValidation type="list" allowBlank="1" showInputMessage="1" showErrorMessage="1" sqref="H14">
      <formula1>$AC$134:$AC$139</formula1>
    </dataValidation>
    <dataValidation type="list" allowBlank="1" showInputMessage="1" showErrorMessage="1" sqref="J14">
      <formula1>$AH$135:$AH$137</formula1>
    </dataValidation>
    <dataValidation type="list" allowBlank="1" showInputMessage="1" showErrorMessage="1" sqref="G14">
      <formula1>"L,gal"</formula1>
    </dataValidation>
  </dataValidations>
  <pageMargins left="0.70866141732283472" right="0.70866141732283472" top="0.74803149606299213" bottom="0.74803149606299213" header="0.31496062992125984" footer="0.31496062992125984"/>
  <pageSetup scale="10" pageOrder="overThenDown" orientation="portrait" horizontalDpi="4294967293" r:id="rId1"/>
  <headerFooter>
    <oddFooter>&amp;RRT03-F52 Vr.3 (2023-05-23)</oddFooter>
  </headerFooter>
  <rowBreaks count="2" manualBreakCount="2">
    <brk id="62" max="16383" man="1"/>
    <brk id="128"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A207"/>
  <sheetViews>
    <sheetView showGridLines="0" tabSelected="1" zoomScale="40" zoomScaleNormal="40" zoomScaleSheetLayoutView="40" workbookViewId="0">
      <selection activeCell="B24" sqref="B24"/>
    </sheetView>
  </sheetViews>
  <sheetFormatPr baseColWidth="10" defaultColWidth="11.42578125" defaultRowHeight="15" x14ac:dyDescent="0.2"/>
  <cols>
    <col min="1" max="1" width="52" style="1" customWidth="1"/>
    <col min="2" max="2" width="28" style="1" bestFit="1" customWidth="1"/>
    <col min="3" max="3" width="25.42578125" style="1" customWidth="1"/>
    <col min="4" max="4" width="19" style="1" customWidth="1"/>
    <col min="5" max="5" width="17.28515625" style="1" customWidth="1"/>
    <col min="6" max="6" width="17.7109375" style="1" bestFit="1" customWidth="1"/>
    <col min="7" max="7" width="19.140625" style="1" customWidth="1"/>
    <col min="8" max="8" width="20.140625" style="1" customWidth="1"/>
    <col min="9" max="9" width="24.7109375" style="1" customWidth="1"/>
    <col min="10" max="10" width="15.7109375" style="1" customWidth="1"/>
    <col min="11" max="11" width="20.7109375" style="1" customWidth="1"/>
    <col min="12" max="12" width="21.42578125" style="1" customWidth="1"/>
    <col min="13" max="13" width="19.42578125" style="1" customWidth="1"/>
    <col min="14" max="14" width="17.85546875" style="1" customWidth="1"/>
    <col min="15" max="16" width="25" style="1" customWidth="1"/>
    <col min="17" max="17" width="17" style="1" customWidth="1"/>
    <col min="18" max="18" width="16.28515625" style="1" customWidth="1"/>
    <col min="19" max="19" width="18.85546875" style="1" customWidth="1"/>
    <col min="20" max="24" width="11.42578125" style="1"/>
    <col min="25" max="25" width="11.7109375" style="1" customWidth="1"/>
    <col min="26" max="16384" width="11.42578125" style="1"/>
  </cols>
  <sheetData>
    <row r="1" spans="1:19" s="3" customFormat="1" ht="75" customHeight="1" thickBot="1" x14ac:dyDescent="0.3">
      <c r="A1" s="1732"/>
      <c r="B1" s="1733"/>
      <c r="C1" s="1179"/>
      <c r="D1" s="1734" t="s">
        <v>0</v>
      </c>
      <c r="E1" s="1735"/>
      <c r="F1" s="1735"/>
      <c r="G1" s="1735"/>
      <c r="H1" s="1735"/>
      <c r="I1" s="1735"/>
      <c r="J1" s="1735"/>
      <c r="K1" s="1735"/>
      <c r="L1" s="1735"/>
      <c r="M1" s="1735"/>
      <c r="N1" s="1735"/>
      <c r="O1" s="1735"/>
      <c r="P1" s="1735"/>
      <c r="Q1" s="1735"/>
      <c r="R1" s="1736"/>
      <c r="S1" s="1180"/>
    </row>
    <row r="2" spans="1:19" s="3" customFormat="1" ht="5.0999999999999996" customHeight="1" thickBot="1" x14ac:dyDescent="0.35">
      <c r="A2" s="1181"/>
      <c r="B2" s="1181"/>
      <c r="C2" s="1182"/>
      <c r="D2" s="42"/>
      <c r="E2" s="42"/>
      <c r="F2" s="42"/>
      <c r="G2" s="42"/>
      <c r="H2" s="42"/>
      <c r="I2" s="42"/>
      <c r="J2" s="42"/>
      <c r="K2" s="42"/>
      <c r="L2" s="42"/>
      <c r="M2" s="42"/>
      <c r="N2" s="42"/>
      <c r="O2" s="42"/>
      <c r="P2" s="42"/>
      <c r="Q2" s="42"/>
      <c r="R2" s="42"/>
      <c r="S2" s="1182"/>
    </row>
    <row r="3" spans="1:19" s="4" customFormat="1" ht="36" customHeight="1" thickBot="1" x14ac:dyDescent="0.3">
      <c r="A3" s="1049" t="s">
        <v>406</v>
      </c>
      <c r="B3" s="1048" t="e">
        <f>VLOOKUP($S3,'DATOS ¬'!$D$7:$N$19,2,FALSE)</f>
        <v>#N/A</v>
      </c>
      <c r="C3" s="1050" t="s">
        <v>407</v>
      </c>
      <c r="D3" s="1737" t="e">
        <f>VLOOKUP($S$3,'DATOS ¬'!$D$7:$N$19,3,FALSE)</f>
        <v>#N/A</v>
      </c>
      <c r="E3" s="1738"/>
      <c r="F3" s="1050" t="s">
        <v>408</v>
      </c>
      <c r="G3" s="1739" t="e">
        <f>VLOOKUP($S$3,'DATOS ¬'!$D$7:$N$19,7,FALSE)</f>
        <v>#N/A</v>
      </c>
      <c r="H3" s="1739"/>
      <c r="I3" s="1050" t="s">
        <v>409</v>
      </c>
      <c r="J3" s="1739" t="e">
        <f>VLOOKUP($S$3,'DATOS ¬'!$D$7:$N$19,4,FALSE)</f>
        <v>#N/A</v>
      </c>
      <c r="K3" s="1739"/>
      <c r="L3" s="1050" t="s">
        <v>6</v>
      </c>
      <c r="M3" s="1737" t="e">
        <f>VLOOKUP($S$3,'DATOS ¬'!$D$7:$N$19,6,FALSE)</f>
        <v>#N/A</v>
      </c>
      <c r="N3" s="1738"/>
      <c r="O3" s="1050" t="s">
        <v>410</v>
      </c>
      <c r="P3" s="1739" t="e">
        <f>VLOOKUP($S$3,'DATOS ¬'!$D$7:$N$19,11,FALSE)</f>
        <v>#N/A</v>
      </c>
      <c r="Q3" s="1739"/>
      <c r="R3" s="1740"/>
      <c r="S3" s="56"/>
    </row>
    <row r="4" spans="1:19" s="4" customFormat="1" ht="5.0999999999999996" customHeight="1" thickBot="1" x14ac:dyDescent="0.35">
      <c r="A4" s="52"/>
      <c r="B4" s="52"/>
      <c r="C4" s="52"/>
      <c r="D4" s="52"/>
      <c r="E4" s="52"/>
      <c r="F4" s="52"/>
      <c r="G4" s="52"/>
      <c r="H4" s="52"/>
      <c r="I4" s="52"/>
      <c r="J4" s="52"/>
      <c r="K4" s="52"/>
      <c r="L4" s="52"/>
      <c r="M4" s="52"/>
      <c r="N4" s="52"/>
      <c r="O4" s="52"/>
      <c r="P4" s="52"/>
      <c r="Q4" s="52"/>
      <c r="R4" s="52"/>
      <c r="S4" s="52"/>
    </row>
    <row r="5" spans="1:19" s="4" customFormat="1" ht="30" customHeight="1" thickBot="1" x14ac:dyDescent="0.35">
      <c r="A5" s="1741" t="s">
        <v>411</v>
      </c>
      <c r="B5" s="1742"/>
      <c r="C5" s="1742"/>
      <c r="D5" s="1742"/>
      <c r="E5" s="1742"/>
      <c r="F5" s="1742"/>
      <c r="G5" s="1742"/>
      <c r="H5" s="1742"/>
      <c r="I5" s="1742"/>
      <c r="J5" s="1742"/>
      <c r="K5" s="1742"/>
      <c r="L5" s="1742"/>
      <c r="M5" s="1742"/>
      <c r="N5" s="1742"/>
      <c r="O5" s="1742"/>
      <c r="P5" s="1742"/>
      <c r="Q5" s="1742"/>
      <c r="R5" s="1743"/>
      <c r="S5" s="52"/>
    </row>
    <row r="6" spans="1:19" s="3" customFormat="1" ht="67.5" customHeight="1" thickBot="1" x14ac:dyDescent="0.3">
      <c r="A6" s="972" t="s">
        <v>412</v>
      </c>
      <c r="B6" s="979" t="s">
        <v>413</v>
      </c>
      <c r="C6" s="577" t="s">
        <v>414</v>
      </c>
      <c r="D6" s="577" t="s">
        <v>415</v>
      </c>
      <c r="E6" s="577" t="s">
        <v>68</v>
      </c>
      <c r="F6" s="577" t="s">
        <v>415</v>
      </c>
      <c r="G6" s="577" t="s">
        <v>69</v>
      </c>
      <c r="H6" s="577" t="s">
        <v>415</v>
      </c>
      <c r="I6" s="577" t="s">
        <v>70</v>
      </c>
      <c r="J6" s="577" t="s">
        <v>415</v>
      </c>
      <c r="K6" s="980" t="s">
        <v>416</v>
      </c>
      <c r="L6" s="577" t="s">
        <v>415</v>
      </c>
      <c r="M6" s="577" t="s">
        <v>417</v>
      </c>
      <c r="N6" s="577" t="s">
        <v>415</v>
      </c>
      <c r="O6" s="577" t="s">
        <v>71</v>
      </c>
      <c r="P6" s="577" t="s">
        <v>6</v>
      </c>
      <c r="Q6" s="185" t="s">
        <v>418</v>
      </c>
      <c r="R6" s="981"/>
      <c r="S6" s="53"/>
    </row>
    <row r="7" spans="1:19" s="3" customFormat="1" ht="29.25" customHeight="1" thickBot="1" x14ac:dyDescent="0.35">
      <c r="A7" s="973" t="s">
        <v>307</v>
      </c>
      <c r="B7" s="526" t="e">
        <f>VLOOKUP(S7,'DATOS ¬'!C202:R205,3,FALSE)</f>
        <v>#N/A</v>
      </c>
      <c r="C7" s="982" t="e">
        <f>VLOOKUP(S7,'DATOS ¬'!C202:R205,4,FALSE)</f>
        <v>#N/A</v>
      </c>
      <c r="D7" s="604" t="s">
        <v>419</v>
      </c>
      <c r="E7" s="989" t="e">
        <f>VLOOKUP(S7,'DATOS ¬'!C202:R205,5,FALSE)</f>
        <v>#N/A</v>
      </c>
      <c r="F7" s="604" t="s">
        <v>419</v>
      </c>
      <c r="G7" s="993" t="e">
        <f>VLOOKUP(S7,'DATOS ¬'!C202:R205,6,FALSE)</f>
        <v>#N/A</v>
      </c>
      <c r="H7" s="604" t="s">
        <v>419</v>
      </c>
      <c r="I7" s="996" t="e">
        <f>VLOOKUP(S7,'DATOS ¬'!C202:R205,7,FALSE)</f>
        <v>#N/A</v>
      </c>
      <c r="J7" s="604" t="s">
        <v>419</v>
      </c>
      <c r="K7" s="275" t="e">
        <f>VLOOKUP(S7,'DATOS ¬'!C202:R205,16,FALSE)</f>
        <v>#N/A</v>
      </c>
      <c r="L7" s="604" t="s">
        <v>419</v>
      </c>
      <c r="M7" s="996" t="e">
        <f>SQRT((I7/2)^2)</f>
        <v>#N/A</v>
      </c>
      <c r="N7" s="604" t="s">
        <v>419</v>
      </c>
      <c r="O7" s="989" t="e">
        <f>VLOOKUP(S7,'DATOS ¬'!C202:R205,8,FALSE)</f>
        <v>#N/A</v>
      </c>
      <c r="P7" s="1054" t="e">
        <f>VLOOKUP(S7,'DATOS ¬'!C202:R205,9,FALSE)</f>
        <v>#N/A</v>
      </c>
      <c r="Q7" s="547"/>
      <c r="R7" s="57"/>
      <c r="S7" s="58"/>
    </row>
    <row r="8" spans="1:19" s="3" customFormat="1" ht="15.75" x14ac:dyDescent="0.25">
      <c r="A8" s="1619" t="s">
        <v>420</v>
      </c>
      <c r="B8" s="1052" t="str">
        <f>IFERROR(VLOOKUP(S8,'DATOS ¬'!C37:R60,3,0),"N/A")</f>
        <v>N/A</v>
      </c>
      <c r="C8" s="983" t="str">
        <f>IFERROR(VLOOKUP(S8,'DATOS ¬'!C37:R60,4,0),"N/A")</f>
        <v>N/A</v>
      </c>
      <c r="D8" s="586" t="s">
        <v>35</v>
      </c>
      <c r="E8" s="983" t="str">
        <f>IFERROR(VLOOKUP(S8,'DATOS ¬'!C37:R60,5,0),"N/A")</f>
        <v>N/A</v>
      </c>
      <c r="F8" s="1053" t="s">
        <v>35</v>
      </c>
      <c r="G8" s="983" t="str">
        <f>IFERROR(VLOOKUP(S8,'DATOS ¬'!C37:R60,6,0),"N/A")</f>
        <v>N/A</v>
      </c>
      <c r="H8" s="1053" t="s">
        <v>35</v>
      </c>
      <c r="I8" s="983" t="str">
        <f>IFERROR(VLOOKUP(S8,'DATOS ¬'!C37:R60,7,0),"N/A")</f>
        <v>N/A</v>
      </c>
      <c r="J8" s="1053" t="s">
        <v>35</v>
      </c>
      <c r="K8" s="200" t="str">
        <f>IFERROR(VLOOKUP(S8,'DATOS ¬'!C37:R60,16,0),"N/A")</f>
        <v>N/A</v>
      </c>
      <c r="L8" s="1053" t="s">
        <v>35</v>
      </c>
      <c r="M8" s="999" t="e">
        <f t="shared" ref="M8:M22" si="0">SQRT((I8/2)^2+(K8/SQRT(12))^2)</f>
        <v>#VALUE!</v>
      </c>
      <c r="N8" s="1053" t="s">
        <v>35</v>
      </c>
      <c r="O8" s="984" t="str">
        <f>IFERROR(VLOOKUP(S8,'DATOS ¬'!C37:R60,8,0),"N/A")</f>
        <v>N/A</v>
      </c>
      <c r="P8" s="1055" t="str">
        <f>IFERROR(VLOOKUP(S8,'DATOS ¬'!C37:R60,9,0),"N/A")</f>
        <v>N/A</v>
      </c>
      <c r="Q8" s="59"/>
      <c r="R8" s="60"/>
      <c r="S8" s="61"/>
    </row>
    <row r="9" spans="1:19" s="3" customFormat="1" ht="15.75" x14ac:dyDescent="0.25">
      <c r="A9" s="1622"/>
      <c r="B9" s="1052" t="str">
        <f>IFERROR(VLOOKUP(S9,'DATOS ¬'!C37:R60,3,0),"N/A")</f>
        <v>N/A</v>
      </c>
      <c r="C9" s="983" t="str">
        <f>IFERROR(VLOOKUP(S9,'DATOS ¬'!C37:R60,4,0),"N/A")</f>
        <v>N/A</v>
      </c>
      <c r="D9" s="586" t="s">
        <v>35</v>
      </c>
      <c r="E9" s="983" t="str">
        <f>IFERROR(VLOOKUP(S9,'DATOS ¬'!C37:R60,5,0),"N/A")</f>
        <v>N/A</v>
      </c>
      <c r="F9" s="1053" t="s">
        <v>35</v>
      </c>
      <c r="G9" s="983" t="str">
        <f>IFERROR(VLOOKUP(S9,'DATOS ¬'!C37:R60,6,0),"N/A")</f>
        <v>N/A</v>
      </c>
      <c r="H9" s="1053" t="s">
        <v>35</v>
      </c>
      <c r="I9" s="983" t="str">
        <f>IFERROR(VLOOKUP(S9,'DATOS ¬'!C37:R60,7,0),"N/A")</f>
        <v>N/A</v>
      </c>
      <c r="J9" s="1053" t="s">
        <v>35</v>
      </c>
      <c r="K9" s="200" t="str">
        <f>IFERROR(VLOOKUP(S9,'DATOS ¬'!C37:R60,16,0),"N/A")</f>
        <v>N/A</v>
      </c>
      <c r="L9" s="1053" t="s">
        <v>35</v>
      </c>
      <c r="M9" s="999" t="e">
        <f t="shared" si="0"/>
        <v>#VALUE!</v>
      </c>
      <c r="N9" s="1053" t="s">
        <v>35</v>
      </c>
      <c r="O9" s="984" t="str">
        <f>IFERROR(VLOOKUP(S9,'DATOS ¬'!C37:R60,8,0),"N/A")</f>
        <v>N/A</v>
      </c>
      <c r="P9" s="1055" t="str">
        <f>IFERROR(VLOOKUP(S9,'DATOS ¬'!C37:R60,9,0),"N/A")</f>
        <v>N/A</v>
      </c>
      <c r="Q9" s="59"/>
      <c r="R9" s="62"/>
      <c r="S9" s="63"/>
    </row>
    <row r="10" spans="1:19" s="3" customFormat="1" ht="15.75" x14ac:dyDescent="0.25">
      <c r="A10" s="1622"/>
      <c r="B10" s="1052" t="str">
        <f>IFERROR(VLOOKUP(S10,'DATOS ¬'!C37:R60,3,0),"N/A")</f>
        <v>N/A</v>
      </c>
      <c r="C10" s="983" t="str">
        <f>IFERROR(VLOOKUP(S10,'DATOS ¬'!C37:R60,4,0),"N/A")</f>
        <v>N/A</v>
      </c>
      <c r="D10" s="586" t="s">
        <v>35</v>
      </c>
      <c r="E10" s="983" t="str">
        <f>IFERROR(VLOOKUP(S10,'DATOS ¬'!C37:R60,5,0),"N/A")</f>
        <v>N/A</v>
      </c>
      <c r="F10" s="1053" t="s">
        <v>421</v>
      </c>
      <c r="G10" s="983" t="str">
        <f>IFERROR(VLOOKUP(S10,'DATOS ¬'!C37:R60,6,0),"N/A")</f>
        <v>N/A</v>
      </c>
      <c r="H10" s="1053" t="s">
        <v>35</v>
      </c>
      <c r="I10" s="983" t="str">
        <f>IFERROR(VLOOKUP(S10,'DATOS ¬'!C37:R60,7,0),"N/A")</f>
        <v>N/A</v>
      </c>
      <c r="J10" s="1053" t="s">
        <v>35</v>
      </c>
      <c r="K10" s="200" t="str">
        <f>IFERROR(VLOOKUP(S10,'DATOS ¬'!C37:R60,16,0),"N/A")</f>
        <v>N/A</v>
      </c>
      <c r="L10" s="1053" t="s">
        <v>35</v>
      </c>
      <c r="M10" s="999" t="e">
        <f t="shared" si="0"/>
        <v>#VALUE!</v>
      </c>
      <c r="N10" s="1053" t="s">
        <v>35</v>
      </c>
      <c r="O10" s="984" t="str">
        <f>IFERROR(VLOOKUP(S10,'DATOS ¬'!C37:R60,8,0),"N/A")</f>
        <v>N/A</v>
      </c>
      <c r="P10" s="1055" t="str">
        <f>IFERROR(VLOOKUP(S10,'DATOS ¬'!C37:R60,9,0),"N/A")</f>
        <v>N/A</v>
      </c>
      <c r="Q10" s="59"/>
      <c r="R10" s="60"/>
      <c r="S10" s="63"/>
    </row>
    <row r="11" spans="1:19" s="3" customFormat="1" ht="15.75" x14ac:dyDescent="0.25">
      <c r="A11" s="1622"/>
      <c r="B11" s="1052" t="str">
        <f>IFERROR(VLOOKUP(S11,'DATOS ¬'!C37:R60,3,0),"N/A")</f>
        <v>N/A</v>
      </c>
      <c r="C11" s="983" t="str">
        <f>IFERROR(VLOOKUP(S11,'DATOS ¬'!C37:R60,4,0),"N/A")</f>
        <v>N/A</v>
      </c>
      <c r="D11" s="586" t="s">
        <v>35</v>
      </c>
      <c r="E11" s="983" t="str">
        <f>IFERROR(VLOOKUP(S11,'DATOS ¬'!C37:R60,5,0),"N/A")</f>
        <v>N/A</v>
      </c>
      <c r="F11" s="1053" t="s">
        <v>421</v>
      </c>
      <c r="G11" s="983" t="str">
        <f>IFERROR(VLOOKUP(S11,'DATOS ¬'!C37:R60,6,0),"N/A")</f>
        <v>N/A</v>
      </c>
      <c r="H11" s="1053" t="s">
        <v>35</v>
      </c>
      <c r="I11" s="983" t="str">
        <f>IFERROR(VLOOKUP(S11,'DATOS ¬'!C37:R60,7,0),"N/A")</f>
        <v>N/A</v>
      </c>
      <c r="J11" s="1053" t="s">
        <v>35</v>
      </c>
      <c r="K11" s="200" t="str">
        <f>IFERROR(VLOOKUP(S11,'DATOS ¬'!C37:R60,16,0),"N/A")</f>
        <v>N/A</v>
      </c>
      <c r="L11" s="1053" t="s">
        <v>35</v>
      </c>
      <c r="M11" s="999" t="e">
        <f t="shared" si="0"/>
        <v>#VALUE!</v>
      </c>
      <c r="N11" s="1053" t="s">
        <v>35</v>
      </c>
      <c r="O11" s="984" t="str">
        <f>IFERROR(VLOOKUP(S11,'DATOS ¬'!C37:R60,8,0),"N/A")</f>
        <v>N/A</v>
      </c>
      <c r="P11" s="1055" t="str">
        <f>IFERROR(VLOOKUP(S11,'DATOS ¬'!C37:R60,9,0),"N/A")</f>
        <v>N/A</v>
      </c>
      <c r="Q11" s="59"/>
      <c r="R11" s="60"/>
      <c r="S11" s="63"/>
    </row>
    <row r="12" spans="1:19" s="3" customFormat="1" ht="16.5" thickBot="1" x14ac:dyDescent="0.3">
      <c r="A12" s="1744"/>
      <c r="B12" s="1052" t="str">
        <f>IFERROR(VLOOKUP(S12,'DATOS ¬'!C37:R60,3,0),"N/A")</f>
        <v>N/A</v>
      </c>
      <c r="C12" s="983" t="str">
        <f>IFERROR(VLOOKUP(S12,'DATOS ¬'!C37:R60,4,0),"N/A")</f>
        <v>N/A</v>
      </c>
      <c r="D12" s="586" t="s">
        <v>35</v>
      </c>
      <c r="E12" s="983" t="str">
        <f>IFERROR(VLOOKUP(S12,'DATOS ¬'!C37:R60,5,0),"N/A")</f>
        <v>N/A</v>
      </c>
      <c r="F12" s="1053" t="s">
        <v>421</v>
      </c>
      <c r="G12" s="983" t="str">
        <f>IFERROR(VLOOKUP(S12,'DATOS ¬'!C37:R60,6,0),"N/A")</f>
        <v>N/A</v>
      </c>
      <c r="H12" s="1053" t="s">
        <v>35</v>
      </c>
      <c r="I12" s="983" t="str">
        <f>IFERROR(VLOOKUP(S12,'DATOS ¬'!C37:R60,7,0),"N/A")</f>
        <v>N/A</v>
      </c>
      <c r="J12" s="1053" t="s">
        <v>35</v>
      </c>
      <c r="K12" s="200" t="str">
        <f>IFERROR(VLOOKUP(S12,'DATOS ¬'!C37:R60,16,0),"N/A")</f>
        <v>N/A</v>
      </c>
      <c r="L12" s="1053" t="s">
        <v>35</v>
      </c>
      <c r="M12" s="999" t="e">
        <f t="shared" si="0"/>
        <v>#VALUE!</v>
      </c>
      <c r="N12" s="1053" t="s">
        <v>35</v>
      </c>
      <c r="O12" s="984" t="str">
        <f>IFERROR(VLOOKUP(S12,'DATOS ¬'!C37:R60,8,0),"N/A")</f>
        <v>N/A</v>
      </c>
      <c r="P12" s="1055" t="str">
        <f>IFERROR(VLOOKUP(S12,'DATOS ¬'!C37:R60,9,0),"N/A")</f>
        <v>N/A</v>
      </c>
      <c r="Q12" s="59"/>
      <c r="R12" s="60"/>
      <c r="S12" s="63"/>
    </row>
    <row r="13" spans="1:19" s="3" customFormat="1" ht="30" customHeight="1" x14ac:dyDescent="0.25">
      <c r="A13" s="1745" t="s">
        <v>342</v>
      </c>
      <c r="B13" s="263" t="e">
        <f>VLOOKUP(S13,'DATOS ¬'!$C$177:$R$198,3,FALSE)</f>
        <v>#N/A</v>
      </c>
      <c r="C13" s="984" t="e">
        <f>VLOOKUP(S13,'DATOS ¬'!$C$177:$R$198,4,FALSE)</f>
        <v>#N/A</v>
      </c>
      <c r="D13" s="586" t="s">
        <v>422</v>
      </c>
      <c r="E13" s="985" t="e">
        <f>VLOOKUP(S13,'DATOS ¬'!$C$177:$R$198,5,FALSE)</f>
        <v>#N/A</v>
      </c>
      <c r="F13" s="1053" t="s">
        <v>422</v>
      </c>
      <c r="G13" s="985" t="e">
        <f>VLOOKUP(S13,'DATOS ¬'!$C$177:$R$198,6,FALSE)</f>
        <v>#N/A</v>
      </c>
      <c r="H13" s="1053" t="s">
        <v>422</v>
      </c>
      <c r="I13" s="986" t="e">
        <f>VLOOKUP(S13,'DATOS ¬'!$C$177:$R$198,7,FALSE)</f>
        <v>#N/A</v>
      </c>
      <c r="J13" s="1053" t="s">
        <v>422</v>
      </c>
      <c r="K13" s="472" t="e">
        <f>VLOOKUP(S13,'DATOS ¬'!$C$177:$R$198,16,FALSE)</f>
        <v>#N/A</v>
      </c>
      <c r="L13" s="1053" t="s">
        <v>422</v>
      </c>
      <c r="M13" s="999" t="e">
        <f t="shared" si="0"/>
        <v>#N/A</v>
      </c>
      <c r="N13" s="1053" t="s">
        <v>422</v>
      </c>
      <c r="O13" s="984" t="e">
        <f>VLOOKUP(S13,'DATOS ¬'!$C$177:$R$198,8,FALSE)</f>
        <v>#N/A</v>
      </c>
      <c r="P13" s="1055" t="e">
        <f>VLOOKUP(S13,'DATOS ¬'!$C$177:$R$198,9,FALSE)</f>
        <v>#N/A</v>
      </c>
      <c r="Q13" s="59"/>
      <c r="R13" s="59"/>
      <c r="S13" s="61"/>
    </row>
    <row r="14" spans="1:19" s="3" customFormat="1" ht="30" customHeight="1" x14ac:dyDescent="0.25">
      <c r="A14" s="1622"/>
      <c r="B14" s="263" t="e">
        <f>VLOOKUP(S14,'DATOS ¬'!$C$177:$R$198,3,FALSE)</f>
        <v>#N/A</v>
      </c>
      <c r="C14" s="984" t="e">
        <f>VLOOKUP(S14,'DATOS ¬'!$C$177:$R$198,4,FALSE)</f>
        <v>#N/A</v>
      </c>
      <c r="D14" s="586" t="s">
        <v>422</v>
      </c>
      <c r="E14" s="985" t="e">
        <f>VLOOKUP(S14,'DATOS ¬'!$C$177:$R$198,5,FALSE)</f>
        <v>#N/A</v>
      </c>
      <c r="F14" s="1053" t="s">
        <v>422</v>
      </c>
      <c r="G14" s="985" t="e">
        <f>VLOOKUP(S14,'DATOS ¬'!$C$177:$R$198,6,FALSE)</f>
        <v>#N/A</v>
      </c>
      <c r="H14" s="1053" t="s">
        <v>422</v>
      </c>
      <c r="I14" s="986" t="e">
        <f>VLOOKUP(S14,'DATOS ¬'!$C$177:$R$198,7,FALSE)</f>
        <v>#N/A</v>
      </c>
      <c r="J14" s="1053" t="s">
        <v>422</v>
      </c>
      <c r="K14" s="472" t="e">
        <f>VLOOKUP(S14,'DATOS ¬'!$C$177:$R$198,16,FALSE)</f>
        <v>#N/A</v>
      </c>
      <c r="L14" s="1053" t="s">
        <v>422</v>
      </c>
      <c r="M14" s="999" t="e">
        <f t="shared" si="0"/>
        <v>#N/A</v>
      </c>
      <c r="N14" s="1053" t="s">
        <v>422</v>
      </c>
      <c r="O14" s="984" t="e">
        <f>VLOOKUP(S14,'DATOS ¬'!$C$177:$R$198,8,FALSE)</f>
        <v>#N/A</v>
      </c>
      <c r="P14" s="1055" t="e">
        <f>VLOOKUP(S14,'DATOS ¬'!$C$177:$R$198,9,FALSE)</f>
        <v>#N/A</v>
      </c>
      <c r="Q14" s="59"/>
      <c r="R14" s="59"/>
      <c r="S14" s="63"/>
    </row>
    <row r="15" spans="1:19" s="3" customFormat="1" ht="30" customHeight="1" x14ac:dyDescent="0.25">
      <c r="A15" s="1622"/>
      <c r="B15" s="263" t="e">
        <f>VLOOKUP(S15,'DATOS ¬'!$C$177:$R$198,3,FALSE)</f>
        <v>#N/A</v>
      </c>
      <c r="C15" s="984" t="e">
        <f>VLOOKUP(S15,'DATOS ¬'!$C$177:$R$198,4,FALSE)</f>
        <v>#N/A</v>
      </c>
      <c r="D15" s="586" t="s">
        <v>422</v>
      </c>
      <c r="E15" s="985" t="e">
        <f>VLOOKUP(S15,'DATOS ¬'!$C$177:$R$198,5,FALSE)</f>
        <v>#N/A</v>
      </c>
      <c r="F15" s="1053" t="s">
        <v>422</v>
      </c>
      <c r="G15" s="985" t="e">
        <f>VLOOKUP(S15,'DATOS ¬'!$C$177:$R$198,6,FALSE)</f>
        <v>#N/A</v>
      </c>
      <c r="H15" s="1053" t="s">
        <v>422</v>
      </c>
      <c r="I15" s="986" t="e">
        <f>VLOOKUP(S15,'DATOS ¬'!$C$177:$R$198,7,FALSE)</f>
        <v>#N/A</v>
      </c>
      <c r="J15" s="1053" t="s">
        <v>422</v>
      </c>
      <c r="K15" s="472" t="e">
        <f>VLOOKUP(S15,'DATOS ¬'!$C$177:$R$198,16,FALSE)</f>
        <v>#N/A</v>
      </c>
      <c r="L15" s="1053" t="s">
        <v>422</v>
      </c>
      <c r="M15" s="986" t="e">
        <f t="shared" si="0"/>
        <v>#N/A</v>
      </c>
      <c r="N15" s="1053" t="s">
        <v>422</v>
      </c>
      <c r="O15" s="984" t="e">
        <f>VLOOKUP(S15,'DATOS ¬'!$C$177:$R$198,8,FALSE)</f>
        <v>#N/A</v>
      </c>
      <c r="P15" s="1055" t="e">
        <f>VLOOKUP(S15,'DATOS ¬'!$C$177:$R$198,9,FALSE)</f>
        <v>#N/A</v>
      </c>
      <c r="Q15" s="59"/>
      <c r="R15" s="59"/>
      <c r="S15" s="63"/>
    </row>
    <row r="16" spans="1:19" s="3" customFormat="1" ht="30" customHeight="1" x14ac:dyDescent="0.25">
      <c r="A16" s="1622"/>
      <c r="B16" s="263" t="e">
        <f>VLOOKUP(S16,'DATOS ¬'!$C$177:$R$198,3,FALSE)</f>
        <v>#N/A</v>
      </c>
      <c r="C16" s="984" t="e">
        <f>VLOOKUP(S16,'DATOS ¬'!$C$177:$R$198,4,FALSE)</f>
        <v>#N/A</v>
      </c>
      <c r="D16" s="586" t="s">
        <v>422</v>
      </c>
      <c r="E16" s="985" t="e">
        <f>VLOOKUP(S16,'DATOS ¬'!$C$177:$R$198,5,FALSE)</f>
        <v>#N/A</v>
      </c>
      <c r="F16" s="1053" t="s">
        <v>422</v>
      </c>
      <c r="G16" s="985" t="e">
        <f>VLOOKUP(S16,'DATOS ¬'!$C$177:$R$198,6,FALSE)</f>
        <v>#N/A</v>
      </c>
      <c r="H16" s="1053" t="s">
        <v>422</v>
      </c>
      <c r="I16" s="986" t="e">
        <f>VLOOKUP(S16,'DATOS ¬'!$C$177:$R$198,7,FALSE)</f>
        <v>#N/A</v>
      </c>
      <c r="J16" s="1053" t="s">
        <v>422</v>
      </c>
      <c r="K16" s="472" t="e">
        <f>VLOOKUP(S16,'DATOS ¬'!$C$177:$R$198,16,FALSE)</f>
        <v>#N/A</v>
      </c>
      <c r="L16" s="1053" t="s">
        <v>422</v>
      </c>
      <c r="M16" s="986" t="e">
        <f t="shared" si="0"/>
        <v>#N/A</v>
      </c>
      <c r="N16" s="1053" t="s">
        <v>422</v>
      </c>
      <c r="O16" s="984" t="e">
        <f>VLOOKUP(S16,'DATOS ¬'!$C$177:$R$198,8,FALSE)</f>
        <v>#N/A</v>
      </c>
      <c r="P16" s="1055" t="e">
        <f>VLOOKUP(S16,'DATOS ¬'!$C$177:$R$198,9,FALSE)</f>
        <v>#N/A</v>
      </c>
      <c r="Q16" s="59"/>
      <c r="R16" s="59"/>
      <c r="S16" s="63"/>
    </row>
    <row r="17" spans="1:19" s="3" customFormat="1" ht="30" customHeight="1" x14ac:dyDescent="0.25">
      <c r="A17" s="1622"/>
      <c r="B17" s="263" t="e">
        <f>VLOOKUP(S17,'DATOS ¬'!$C$177:$R$198,3,FALSE)</f>
        <v>#N/A</v>
      </c>
      <c r="C17" s="984" t="e">
        <f>VLOOKUP(S17,'DATOS ¬'!$C$177:$R$198,4,FALSE)</f>
        <v>#N/A</v>
      </c>
      <c r="D17" s="586" t="s">
        <v>422</v>
      </c>
      <c r="E17" s="985" t="e">
        <f>VLOOKUP(S17,'DATOS ¬'!$C$177:$R$198,5,FALSE)</f>
        <v>#N/A</v>
      </c>
      <c r="F17" s="1053" t="s">
        <v>422</v>
      </c>
      <c r="G17" s="985" t="e">
        <f>VLOOKUP(S17,'DATOS ¬'!$C$177:$R$198,6,FALSE)</f>
        <v>#N/A</v>
      </c>
      <c r="H17" s="1053" t="s">
        <v>422</v>
      </c>
      <c r="I17" s="986" t="e">
        <f>VLOOKUP(S17,'DATOS ¬'!$C$177:$R$198,7,FALSE)</f>
        <v>#N/A</v>
      </c>
      <c r="J17" s="1053" t="s">
        <v>422</v>
      </c>
      <c r="K17" s="472" t="e">
        <f>VLOOKUP(S17,'DATOS ¬'!$C$177:$R$198,16,FALSE)</f>
        <v>#N/A</v>
      </c>
      <c r="L17" s="1053" t="s">
        <v>422</v>
      </c>
      <c r="M17" s="986" t="e">
        <f t="shared" si="0"/>
        <v>#N/A</v>
      </c>
      <c r="N17" s="1053" t="s">
        <v>422</v>
      </c>
      <c r="O17" s="984" t="e">
        <f>VLOOKUP(S17,'DATOS ¬'!$C$177:$R$198,8,FALSE)</f>
        <v>#N/A</v>
      </c>
      <c r="P17" s="1055" t="e">
        <f>VLOOKUP(S17,'DATOS ¬'!$C$177:$R$198,9,FALSE)</f>
        <v>#N/A</v>
      </c>
      <c r="Q17" s="59"/>
      <c r="R17" s="59"/>
      <c r="S17" s="63"/>
    </row>
    <row r="18" spans="1:19" s="3" customFormat="1" ht="30" customHeight="1" x14ac:dyDescent="0.25">
      <c r="A18" s="1622"/>
      <c r="B18" s="263" t="e">
        <f>VLOOKUP(S18,'DATOS ¬'!$C$177:$R$198,3,FALSE)</f>
        <v>#N/A</v>
      </c>
      <c r="C18" s="984" t="e">
        <f>VLOOKUP(S18,'DATOS ¬'!$C$177:$R$198,4,FALSE)</f>
        <v>#N/A</v>
      </c>
      <c r="D18" s="586" t="s">
        <v>422</v>
      </c>
      <c r="E18" s="985" t="e">
        <f>VLOOKUP(S18,'DATOS ¬'!$C$177:$R$198,5,FALSE)</f>
        <v>#N/A</v>
      </c>
      <c r="F18" s="1053" t="s">
        <v>422</v>
      </c>
      <c r="G18" s="985" t="e">
        <f>VLOOKUP(S18,'DATOS ¬'!$C$177:$R$198,6,FALSE)</f>
        <v>#N/A</v>
      </c>
      <c r="H18" s="1053" t="s">
        <v>422</v>
      </c>
      <c r="I18" s="986" t="e">
        <f>VLOOKUP(S18,'DATOS ¬'!$C$177:$R$198,7,FALSE)</f>
        <v>#N/A</v>
      </c>
      <c r="J18" s="1053" t="s">
        <v>422</v>
      </c>
      <c r="K18" s="472" t="e">
        <f>VLOOKUP(S18,'DATOS ¬'!$C$177:$R$198,16,FALSE)</f>
        <v>#N/A</v>
      </c>
      <c r="L18" s="1053" t="s">
        <v>422</v>
      </c>
      <c r="M18" s="986" t="e">
        <f t="shared" si="0"/>
        <v>#N/A</v>
      </c>
      <c r="N18" s="1053" t="s">
        <v>422</v>
      </c>
      <c r="O18" s="984" t="e">
        <f>VLOOKUP(S18,'DATOS ¬'!$C$177:$R$198,8,FALSE)</f>
        <v>#N/A</v>
      </c>
      <c r="P18" s="1056" t="e">
        <f>VLOOKUP(S18,'DATOS ¬'!$C$177:$R$198,9,FALSE)</f>
        <v>#N/A</v>
      </c>
      <c r="Q18" s="673" t="e">
        <f>VLOOKUP(S18,'DATOS ¬'!$C$177:$S$198,17,FALSE)</f>
        <v>#N/A</v>
      </c>
      <c r="R18" s="59"/>
      <c r="S18" s="63"/>
    </row>
    <row r="19" spans="1:19" s="3" customFormat="1" ht="30" customHeight="1" x14ac:dyDescent="0.25">
      <c r="A19" s="1622"/>
      <c r="B19" s="263" t="e">
        <f>VLOOKUP(S19,'DATOS ¬'!$C$177:$R$198,3,FALSE)</f>
        <v>#N/A</v>
      </c>
      <c r="C19" s="984" t="e">
        <f>VLOOKUP(S19,'DATOS ¬'!$C$177:$R$198,4,FALSE)</f>
        <v>#N/A</v>
      </c>
      <c r="D19" s="586" t="s">
        <v>422</v>
      </c>
      <c r="E19" s="985" t="e">
        <f>VLOOKUP(S19,'DATOS ¬'!$C$177:$R$198,5,FALSE)</f>
        <v>#N/A</v>
      </c>
      <c r="F19" s="1053" t="s">
        <v>422</v>
      </c>
      <c r="G19" s="985" t="e">
        <f>VLOOKUP(S19,'DATOS ¬'!$C$177:$R$198,6,FALSE)</f>
        <v>#N/A</v>
      </c>
      <c r="H19" s="1053" t="s">
        <v>422</v>
      </c>
      <c r="I19" s="986" t="e">
        <f>VLOOKUP(S19,'DATOS ¬'!$C$177:$R$198,7,FALSE)</f>
        <v>#N/A</v>
      </c>
      <c r="J19" s="1053" t="s">
        <v>422</v>
      </c>
      <c r="K19" s="472" t="e">
        <f>VLOOKUP(S19,'DATOS ¬'!$C$177:$R$198,16,FALSE)</f>
        <v>#N/A</v>
      </c>
      <c r="L19" s="1053" t="s">
        <v>422</v>
      </c>
      <c r="M19" s="986" t="e">
        <f t="shared" si="0"/>
        <v>#N/A</v>
      </c>
      <c r="N19" s="1053" t="s">
        <v>422</v>
      </c>
      <c r="O19" s="984" t="e">
        <f>VLOOKUP(S19,'DATOS ¬'!$C$177:$R$198,8,FALSE)</f>
        <v>#N/A</v>
      </c>
      <c r="P19" s="1055" t="e">
        <f>VLOOKUP(S19,'DATOS ¬'!$C$177:$R$198,9,FALSE)</f>
        <v>#N/A</v>
      </c>
      <c r="Q19" s="59"/>
      <c r="R19" s="59"/>
      <c r="S19" s="63"/>
    </row>
    <row r="20" spans="1:19" s="3" customFormat="1" ht="30" customHeight="1" x14ac:dyDescent="0.25">
      <c r="A20" s="1622"/>
      <c r="B20" s="263" t="e">
        <f>VLOOKUP(S20,'DATOS ¬'!$C$177:$R$198,3,FALSE)</f>
        <v>#N/A</v>
      </c>
      <c r="C20" s="984" t="e">
        <f>VLOOKUP(S20,'DATOS ¬'!$C$177:$R$198,4,FALSE)</f>
        <v>#N/A</v>
      </c>
      <c r="D20" s="586" t="s">
        <v>422</v>
      </c>
      <c r="E20" s="985" t="e">
        <f>VLOOKUP(S20,'DATOS ¬'!$C$177:$R$198,5,FALSE)</f>
        <v>#N/A</v>
      </c>
      <c r="F20" s="1053" t="s">
        <v>422</v>
      </c>
      <c r="G20" s="985" t="e">
        <f>VLOOKUP(S20,'DATOS ¬'!$C$177:$R$198,6,FALSE)</f>
        <v>#N/A</v>
      </c>
      <c r="H20" s="1053" t="s">
        <v>422</v>
      </c>
      <c r="I20" s="986" t="e">
        <f>VLOOKUP(S20,'DATOS ¬'!$C$177:$R$198,7,FALSE)</f>
        <v>#N/A</v>
      </c>
      <c r="J20" s="1053" t="s">
        <v>422</v>
      </c>
      <c r="K20" s="472" t="e">
        <f>VLOOKUP(S20,'DATOS ¬'!$C$177:$R$198,16,FALSE)</f>
        <v>#N/A</v>
      </c>
      <c r="L20" s="1053" t="s">
        <v>422</v>
      </c>
      <c r="M20" s="986" t="e">
        <f t="shared" si="0"/>
        <v>#N/A</v>
      </c>
      <c r="N20" s="1053" t="s">
        <v>422</v>
      </c>
      <c r="O20" s="984" t="e">
        <f>VLOOKUP(S20,'DATOS ¬'!$C$177:$R$198,8,FALSE)</f>
        <v>#N/A</v>
      </c>
      <c r="P20" s="1055" t="e">
        <f>VLOOKUP(S20,'DATOS ¬'!$C$177:$R$198,9,FALSE)</f>
        <v>#N/A</v>
      </c>
      <c r="Q20" s="59"/>
      <c r="R20" s="59"/>
      <c r="S20" s="63"/>
    </row>
    <row r="21" spans="1:19" s="3" customFormat="1" ht="30" customHeight="1" x14ac:dyDescent="0.25">
      <c r="A21" s="1622"/>
      <c r="B21" s="263" t="e">
        <f>VLOOKUP(S21,'DATOS ¬'!$C$177:$R$198,3,FALSE)</f>
        <v>#N/A</v>
      </c>
      <c r="C21" s="984" t="e">
        <f>VLOOKUP(S21,'DATOS ¬'!$C$177:$R$198,4,FALSE)</f>
        <v>#N/A</v>
      </c>
      <c r="D21" s="586" t="s">
        <v>422</v>
      </c>
      <c r="E21" s="985" t="e">
        <f>VLOOKUP(S21,'DATOS ¬'!$C$177:$R$198,5,FALSE)</f>
        <v>#N/A</v>
      </c>
      <c r="F21" s="1053" t="s">
        <v>422</v>
      </c>
      <c r="G21" s="985" t="e">
        <f>VLOOKUP(S21,'DATOS ¬'!$C$177:$R$198,6,FALSE)</f>
        <v>#N/A</v>
      </c>
      <c r="H21" s="1053" t="s">
        <v>422</v>
      </c>
      <c r="I21" s="986" t="e">
        <f>VLOOKUP(S21,'DATOS ¬'!$C$177:$R$198,7,FALSE)</f>
        <v>#N/A</v>
      </c>
      <c r="J21" s="1053" t="s">
        <v>422</v>
      </c>
      <c r="K21" s="472" t="e">
        <f>VLOOKUP(S21,'DATOS ¬'!$C$177:$R$198,16,FALSE)</f>
        <v>#N/A</v>
      </c>
      <c r="L21" s="1053" t="s">
        <v>422</v>
      </c>
      <c r="M21" s="986" t="e">
        <f t="shared" si="0"/>
        <v>#N/A</v>
      </c>
      <c r="N21" s="1053" t="s">
        <v>422</v>
      </c>
      <c r="O21" s="984" t="e">
        <f>VLOOKUP(S21,'DATOS ¬'!$C$177:$R$198,8,FALSE)</f>
        <v>#N/A</v>
      </c>
      <c r="P21" s="1055" t="e">
        <f>VLOOKUP(S21,'DATOS ¬'!$C$177:$R$198,9,FALSE)</f>
        <v>#N/A</v>
      </c>
      <c r="Q21" s="59"/>
      <c r="R21" s="59"/>
      <c r="S21" s="63"/>
    </row>
    <row r="22" spans="1:19" s="3" customFormat="1" ht="30" customHeight="1" thickBot="1" x14ac:dyDescent="0.3">
      <c r="A22" s="1744"/>
      <c r="B22" s="263" t="e">
        <f>VLOOKUP(S22,'DATOS ¬'!$C$177:$R$198,3,FALSE)</f>
        <v>#N/A</v>
      </c>
      <c r="C22" s="984" t="e">
        <f>VLOOKUP(S22,'DATOS ¬'!$C$177:$R$198,4,FALSE)</f>
        <v>#N/A</v>
      </c>
      <c r="D22" s="586" t="s">
        <v>422</v>
      </c>
      <c r="E22" s="985" t="e">
        <f>VLOOKUP(S22,'DATOS ¬'!$C$177:$R$198,5,FALSE)</f>
        <v>#N/A</v>
      </c>
      <c r="F22" s="1053" t="s">
        <v>422</v>
      </c>
      <c r="G22" s="985" t="e">
        <f>VLOOKUP(S22,'DATOS ¬'!$C$177:$R$198,6,FALSE)</f>
        <v>#N/A</v>
      </c>
      <c r="H22" s="1053" t="s">
        <v>422</v>
      </c>
      <c r="I22" s="986" t="e">
        <f>VLOOKUP(S22,'DATOS ¬'!$C$177:$R$198,7,FALSE)</f>
        <v>#N/A</v>
      </c>
      <c r="J22" s="1053" t="s">
        <v>422</v>
      </c>
      <c r="K22" s="472" t="e">
        <f>VLOOKUP(S22,'DATOS ¬'!$C$177:$R$198,16,FALSE)</f>
        <v>#N/A</v>
      </c>
      <c r="L22" s="1053" t="s">
        <v>422</v>
      </c>
      <c r="M22" s="986" t="e">
        <f t="shared" si="0"/>
        <v>#N/A</v>
      </c>
      <c r="N22" s="1053" t="s">
        <v>422</v>
      </c>
      <c r="O22" s="984" t="e">
        <f>VLOOKUP(S22,'DATOS ¬'!$C$177:$R$198,8,FALSE)</f>
        <v>#N/A</v>
      </c>
      <c r="P22" s="1055" t="e">
        <f>VLOOKUP(S22,'DATOS ¬'!$C$177:$R$198,9,FALSE)</f>
        <v>#N/A</v>
      </c>
      <c r="Q22" s="59"/>
      <c r="R22" s="59"/>
      <c r="S22" s="63"/>
    </row>
    <row r="23" spans="1:19" s="3" customFormat="1" ht="30" customHeight="1" x14ac:dyDescent="0.25">
      <c r="A23" s="1745" t="s">
        <v>346</v>
      </c>
      <c r="B23" s="263" t="e">
        <f>VLOOKUP(S23,'DATOS ¬'!$C$67:$L$129,3,FALSE)</f>
        <v>#N/A</v>
      </c>
      <c r="C23" s="984" t="e">
        <f>VLOOKUP(S23,'DATOS ¬'!$C$67:$L$129,4,FALSE)</f>
        <v>#N/A</v>
      </c>
      <c r="D23" s="586" t="s">
        <v>35</v>
      </c>
      <c r="E23" s="985" t="e">
        <f>VLOOKUP(S23,'DATOS ¬'!$C$67:$L$129,5,FALSE)</f>
        <v>#N/A</v>
      </c>
      <c r="F23" s="586" t="s">
        <v>35</v>
      </c>
      <c r="G23" s="985" t="e">
        <f>VLOOKUP(S23,'DATOS ¬'!$C$67:$L$129,6,FALSE)</f>
        <v>#N/A</v>
      </c>
      <c r="H23" s="586" t="s">
        <v>35</v>
      </c>
      <c r="I23" s="985" t="e">
        <f>VLOOKUP(S23,'DATOS ¬'!$C$67:$L$129,7,FALSE)</f>
        <v>#N/A</v>
      </c>
      <c r="J23" s="586" t="s">
        <v>35</v>
      </c>
      <c r="K23" s="472"/>
      <c r="L23" s="1053"/>
      <c r="M23" s="999"/>
      <c r="N23" s="1053"/>
      <c r="O23" s="986" t="e">
        <f>VLOOKUP(S23,'DATOS ¬'!$C$67:$L$129,8,FALSE)</f>
        <v>#N/A</v>
      </c>
      <c r="P23" s="1055" t="e">
        <f>VLOOKUP(S23,'DATOS ¬'!$C$67:$L$129,9,FALSE)</f>
        <v>#N/A</v>
      </c>
      <c r="Q23" s="59"/>
      <c r="R23" s="59"/>
      <c r="S23" s="61"/>
    </row>
    <row r="24" spans="1:19" s="3" customFormat="1" ht="30" customHeight="1" x14ac:dyDescent="0.25">
      <c r="A24" s="1622"/>
      <c r="B24" s="263" t="e">
        <f>VLOOKUP(S23,'DATOS ¬'!$C$67:$L$129,3,FALSE)</f>
        <v>#N/A</v>
      </c>
      <c r="C24" s="984" t="e">
        <f>VLOOKUP(S24,'DATOS ¬'!$C$67:$L$129,4,FALSE)</f>
        <v>#N/A</v>
      </c>
      <c r="D24" s="586" t="s">
        <v>35</v>
      </c>
      <c r="E24" s="985" t="e">
        <f>VLOOKUP(S24,'DATOS ¬'!$C$67:$L$129,5,FALSE)</f>
        <v>#N/A</v>
      </c>
      <c r="F24" s="586" t="s">
        <v>35</v>
      </c>
      <c r="G24" s="985" t="e">
        <f>VLOOKUP(S24,'DATOS ¬'!$C$67:$L$129,6,FALSE)</f>
        <v>#N/A</v>
      </c>
      <c r="H24" s="586" t="s">
        <v>35</v>
      </c>
      <c r="I24" s="985" t="e">
        <f>VLOOKUP(S24,'DATOS ¬'!$C$67:$L$129,7,FALSE)</f>
        <v>#N/A</v>
      </c>
      <c r="J24" s="586" t="s">
        <v>35</v>
      </c>
      <c r="K24" s="472"/>
      <c r="L24" s="1053"/>
      <c r="M24" s="999"/>
      <c r="N24" s="1053"/>
      <c r="O24" s="986" t="e">
        <f>VLOOKUP(S24,'DATOS ¬'!$C$67:$L$129,8,FALSE)</f>
        <v>#N/A</v>
      </c>
      <c r="P24" s="1055" t="e">
        <f>VLOOKUP(S24,'DATOS ¬'!$C$67:$L$129,9,FALSE)</f>
        <v>#N/A</v>
      </c>
      <c r="Q24" s="59"/>
      <c r="R24" s="59"/>
      <c r="S24" s="63"/>
    </row>
    <row r="25" spans="1:19" s="3" customFormat="1" ht="30" customHeight="1" x14ac:dyDescent="0.25">
      <c r="A25" s="1622"/>
      <c r="B25" s="263" t="e">
        <f>VLOOKUP(S23,'DATOS ¬'!$C$67:$L$129,3,FALSE)</f>
        <v>#N/A</v>
      </c>
      <c r="C25" s="984" t="e">
        <f>VLOOKUP(S25,'DATOS ¬'!$C$67:$L$129,4,FALSE)</f>
        <v>#N/A</v>
      </c>
      <c r="D25" s="586" t="s">
        <v>35</v>
      </c>
      <c r="E25" s="985" t="e">
        <f>VLOOKUP(S25,'DATOS ¬'!$C$67:$L$129,5,FALSE)</f>
        <v>#N/A</v>
      </c>
      <c r="F25" s="586" t="s">
        <v>35</v>
      </c>
      <c r="G25" s="985" t="e">
        <f>VLOOKUP(S25,'DATOS ¬'!$C$67:$L$129,6,FALSE)</f>
        <v>#N/A</v>
      </c>
      <c r="H25" s="586" t="s">
        <v>35</v>
      </c>
      <c r="I25" s="985" t="e">
        <f>VLOOKUP(S25,'DATOS ¬'!$C$67:$L$129,7,FALSE)</f>
        <v>#N/A</v>
      </c>
      <c r="J25" s="586" t="s">
        <v>35</v>
      </c>
      <c r="K25" s="472"/>
      <c r="L25" s="1053"/>
      <c r="M25" s="999"/>
      <c r="N25" s="1053"/>
      <c r="O25" s="986" t="e">
        <f>VLOOKUP(S25,'DATOS ¬'!$C$67:$L$129,8,FALSE)</f>
        <v>#N/A</v>
      </c>
      <c r="P25" s="1055" t="e">
        <f>VLOOKUP(S25,'DATOS ¬'!$C$67:$L$129,9,FALSE)</f>
        <v>#N/A</v>
      </c>
      <c r="Q25" s="59"/>
      <c r="R25" s="59"/>
      <c r="S25" s="63"/>
    </row>
    <row r="26" spans="1:19" s="3" customFormat="1" ht="30" customHeight="1" x14ac:dyDescent="0.25">
      <c r="A26" s="1622"/>
      <c r="B26" s="263" t="e">
        <f>VLOOKUP(S23,'DATOS ¬'!$C$67:$L$129,3,FALSE)</f>
        <v>#N/A</v>
      </c>
      <c r="C26" s="985" t="e">
        <f>VLOOKUP(S26,'DATOS ¬'!$C$67:$L$129,4,FALSE)</f>
        <v>#N/A</v>
      </c>
      <c r="D26" s="586" t="s">
        <v>178</v>
      </c>
      <c r="E26" s="985" t="e">
        <f>VLOOKUP(S26,'DATOS ¬'!$C$67:$L$129,5,FALSE)</f>
        <v>#N/A</v>
      </c>
      <c r="F26" s="586" t="s">
        <v>178</v>
      </c>
      <c r="G26" s="985" t="e">
        <f>VLOOKUP(S26,'DATOS ¬'!$C$67:$L$129,6,FALSE)</f>
        <v>#N/A</v>
      </c>
      <c r="H26" s="586" t="s">
        <v>178</v>
      </c>
      <c r="I26" s="985" t="e">
        <f>VLOOKUP(S26,'DATOS ¬'!$C$67:$L$129,7,FALSE)</f>
        <v>#N/A</v>
      </c>
      <c r="J26" s="586" t="s">
        <v>178</v>
      </c>
      <c r="K26" s="472"/>
      <c r="L26" s="1053"/>
      <c r="M26" s="999"/>
      <c r="N26" s="1053"/>
      <c r="O26" s="984" t="e">
        <f>VLOOKUP(S26,'DATOS ¬'!$C$67:$L$129,8,FALSE)</f>
        <v>#N/A</v>
      </c>
      <c r="P26" s="1055" t="e">
        <f>VLOOKUP(S26,'DATOS ¬'!$C$67:$L$129,9,FALSE)</f>
        <v>#N/A</v>
      </c>
      <c r="Q26" s="59"/>
      <c r="R26" s="59"/>
      <c r="S26" s="63"/>
    </row>
    <row r="27" spans="1:19" s="3" customFormat="1" ht="30" customHeight="1" x14ac:dyDescent="0.25">
      <c r="A27" s="1622"/>
      <c r="B27" s="263" t="e">
        <f>VLOOKUP(S23,'DATOS ¬'!$C$67:$L$129,3,FALSE)</f>
        <v>#N/A</v>
      </c>
      <c r="C27" s="985" t="e">
        <f>VLOOKUP(S27,'DATOS ¬'!$C$67:$L$129,4,FALSE)</f>
        <v>#N/A</v>
      </c>
      <c r="D27" s="586" t="s">
        <v>178</v>
      </c>
      <c r="E27" s="985" t="e">
        <f>VLOOKUP(S27,'DATOS ¬'!$C$67:$L$129,5,FALSE)</f>
        <v>#N/A</v>
      </c>
      <c r="F27" s="586" t="s">
        <v>178</v>
      </c>
      <c r="G27" s="985" t="e">
        <f>VLOOKUP(S27,'DATOS ¬'!$C$67:$L$129,6,FALSE)</f>
        <v>#N/A</v>
      </c>
      <c r="H27" s="586" t="s">
        <v>178</v>
      </c>
      <c r="I27" s="985" t="e">
        <f>VLOOKUP(S27,'DATOS ¬'!$C$67:$L$129,7,FALSE)</f>
        <v>#N/A</v>
      </c>
      <c r="J27" s="586" t="s">
        <v>178</v>
      </c>
      <c r="K27" s="472"/>
      <c r="L27" s="1053"/>
      <c r="M27" s="999"/>
      <c r="N27" s="1053"/>
      <c r="O27" s="984" t="e">
        <f>VLOOKUP(S27,'DATOS ¬'!$C$67:$L$129,8,FALSE)</f>
        <v>#N/A</v>
      </c>
      <c r="P27" s="1055" t="e">
        <f>VLOOKUP(S27,'DATOS ¬'!$C$67:$L$129,9,FALSE)</f>
        <v>#N/A</v>
      </c>
      <c r="Q27" s="59"/>
      <c r="R27" s="59"/>
      <c r="S27" s="63"/>
    </row>
    <row r="28" spans="1:19" s="3" customFormat="1" ht="30" customHeight="1" x14ac:dyDescent="0.25">
      <c r="A28" s="1622"/>
      <c r="B28" s="263" t="e">
        <f>VLOOKUP(S23,'DATOS ¬'!$C$67:$L$129,3,FALSE)</f>
        <v>#N/A</v>
      </c>
      <c r="C28" s="985" t="e">
        <f>VLOOKUP(S28,'DATOS ¬'!$C$67:$L$129,4,FALSE)</f>
        <v>#N/A</v>
      </c>
      <c r="D28" s="586" t="s">
        <v>178</v>
      </c>
      <c r="E28" s="985" t="e">
        <f>VLOOKUP(S28,'DATOS ¬'!$C$67:$L$129,5,FALSE)</f>
        <v>#N/A</v>
      </c>
      <c r="F28" s="586" t="s">
        <v>178</v>
      </c>
      <c r="G28" s="985" t="e">
        <f>VLOOKUP(S28,'DATOS ¬'!$C$67:$L$129,6,FALSE)</f>
        <v>#N/A</v>
      </c>
      <c r="H28" s="586" t="s">
        <v>178</v>
      </c>
      <c r="I28" s="985" t="e">
        <f>VLOOKUP(S28,'DATOS ¬'!$C$67:$L$129,7,FALSE)</f>
        <v>#N/A</v>
      </c>
      <c r="J28" s="586" t="s">
        <v>178</v>
      </c>
      <c r="K28" s="472"/>
      <c r="L28" s="1053"/>
      <c r="M28" s="999"/>
      <c r="N28" s="1053"/>
      <c r="O28" s="984" t="e">
        <f>VLOOKUP(S28,'DATOS ¬'!$C$67:$L$129,8,FALSE)</f>
        <v>#N/A</v>
      </c>
      <c r="P28" s="1055" t="e">
        <f>VLOOKUP(S28,'DATOS ¬'!$C$67:$L$129,9,FALSE)</f>
        <v>#N/A</v>
      </c>
      <c r="Q28" s="59"/>
      <c r="R28" s="59"/>
      <c r="S28" s="63"/>
    </row>
    <row r="29" spans="1:19" s="3" customFormat="1" ht="30" customHeight="1" x14ac:dyDescent="0.25">
      <c r="A29" s="1622"/>
      <c r="B29" s="263" t="e">
        <f>VLOOKUP(S23,'DATOS ¬'!$C$67:$L$129,3,FALSE)</f>
        <v>#N/A</v>
      </c>
      <c r="C29" s="983" t="e">
        <f>VLOOKUP(S29,'DATOS ¬'!$C$67:$L$129,4,FALSE)</f>
        <v>#N/A</v>
      </c>
      <c r="D29" s="586" t="s">
        <v>129</v>
      </c>
      <c r="E29" s="985" t="e">
        <f>VLOOKUP(S29,'DATOS ¬'!$C$67:$L$129,5,FALSE)</f>
        <v>#N/A</v>
      </c>
      <c r="F29" s="586" t="s">
        <v>129</v>
      </c>
      <c r="G29" s="983" t="e">
        <f>VLOOKUP(S29,'DATOS ¬'!$C$67:$L$129,6,FALSE)</f>
        <v>#N/A</v>
      </c>
      <c r="H29" s="586" t="s">
        <v>129</v>
      </c>
      <c r="I29" s="983" t="e">
        <f>VLOOKUP(S29,'DATOS ¬'!$C$67:$L$129,7,FALSE)</f>
        <v>#N/A</v>
      </c>
      <c r="J29" s="586" t="s">
        <v>129</v>
      </c>
      <c r="K29" s="472"/>
      <c r="L29" s="1053"/>
      <c r="M29" s="999"/>
      <c r="N29" s="1053"/>
      <c r="O29" s="984" t="e">
        <f>VLOOKUP(S29,'DATOS ¬'!$C$67:$L$129,8,FALSE)</f>
        <v>#N/A</v>
      </c>
      <c r="P29" s="1055" t="e">
        <f>VLOOKUP(S29,'DATOS ¬'!$C$67:$L$129,9,FALSE)</f>
        <v>#N/A</v>
      </c>
      <c r="Q29" s="59"/>
      <c r="R29" s="59"/>
      <c r="S29" s="63"/>
    </row>
    <row r="30" spans="1:19" s="3" customFormat="1" ht="30" customHeight="1" x14ac:dyDescent="0.25">
      <c r="A30" s="1622"/>
      <c r="B30" s="263" t="e">
        <f>VLOOKUP(S23,'DATOS ¬'!$C$67:$L$129,3,FALSE)</f>
        <v>#N/A</v>
      </c>
      <c r="C30" s="983" t="e">
        <f>VLOOKUP(S30,'DATOS ¬'!$C$67:$L$129,4,FALSE)</f>
        <v>#N/A</v>
      </c>
      <c r="D30" s="586" t="s">
        <v>129</v>
      </c>
      <c r="E30" s="985" t="e">
        <f>VLOOKUP(S30,'DATOS ¬'!$C$67:$L$129,5,FALSE)</f>
        <v>#N/A</v>
      </c>
      <c r="F30" s="586" t="s">
        <v>129</v>
      </c>
      <c r="G30" s="983" t="e">
        <f>VLOOKUP(S30,'DATOS ¬'!$C$67:$L$129,6,FALSE)</f>
        <v>#N/A</v>
      </c>
      <c r="H30" s="586" t="s">
        <v>129</v>
      </c>
      <c r="I30" s="983" t="e">
        <f>VLOOKUP(S30,'DATOS ¬'!$C$67:$L$129,7,FALSE)</f>
        <v>#N/A</v>
      </c>
      <c r="J30" s="586" t="s">
        <v>129</v>
      </c>
      <c r="K30" s="472"/>
      <c r="L30" s="1053"/>
      <c r="M30" s="999"/>
      <c r="N30" s="1053"/>
      <c r="O30" s="984" t="e">
        <f>VLOOKUP(S30,'DATOS ¬'!$C$67:$L$129,8,FALSE)</f>
        <v>#N/A</v>
      </c>
      <c r="P30" s="1055" t="e">
        <f>VLOOKUP(S30,'DATOS ¬'!$C$67:$L$129,9,FALSE)</f>
        <v>#N/A</v>
      </c>
      <c r="Q30" s="59"/>
      <c r="R30" s="59"/>
      <c r="S30" s="63"/>
    </row>
    <row r="31" spans="1:19" s="3" customFormat="1" ht="30" customHeight="1" thickBot="1" x14ac:dyDescent="0.3">
      <c r="A31" s="1744"/>
      <c r="B31" s="263" t="e">
        <f>VLOOKUP(S23,'DATOS ¬'!$C$67:$L$129,3,FALSE)</f>
        <v>#N/A</v>
      </c>
      <c r="C31" s="983" t="e">
        <f>VLOOKUP(S31,'DATOS ¬'!$C$67:$L$129,4,FALSE)</f>
        <v>#N/A</v>
      </c>
      <c r="D31" s="586" t="s">
        <v>129</v>
      </c>
      <c r="E31" s="985" t="e">
        <f>VLOOKUP(S31,'DATOS ¬'!$C$67:$L$129,5,FALSE)</f>
        <v>#N/A</v>
      </c>
      <c r="F31" s="586" t="s">
        <v>129</v>
      </c>
      <c r="G31" s="983" t="e">
        <f>VLOOKUP(S31,'DATOS ¬'!$C$67:$L$129,6,FALSE)</f>
        <v>#N/A</v>
      </c>
      <c r="H31" s="586" t="s">
        <v>129</v>
      </c>
      <c r="I31" s="983" t="e">
        <f>VLOOKUP(S31,'DATOS ¬'!$C$67:$L$129,7,FALSE)</f>
        <v>#N/A</v>
      </c>
      <c r="J31" s="586" t="s">
        <v>129</v>
      </c>
      <c r="K31" s="472"/>
      <c r="L31" s="1053"/>
      <c r="M31" s="999"/>
      <c r="N31" s="1053"/>
      <c r="O31" s="984" t="e">
        <f>VLOOKUP(S31,'DATOS ¬'!$C$67:$L$129,8,FALSE)</f>
        <v>#N/A</v>
      </c>
      <c r="P31" s="1055" t="e">
        <f>VLOOKUP(S31,'DATOS ¬'!$C$67:$L$129,9,FALSE)</f>
        <v>#N/A</v>
      </c>
      <c r="Q31" s="59"/>
      <c r="R31" s="59"/>
      <c r="S31" s="64"/>
    </row>
    <row r="32" spans="1:19" s="3" customFormat="1" ht="30" customHeight="1" thickBot="1" x14ac:dyDescent="0.35">
      <c r="A32" s="974" t="s">
        <v>424</v>
      </c>
      <c r="B32" s="263" t="e">
        <f>VLOOKUP(S32,'DATOS ¬'!$C$209:$R$212,3,FALSE)</f>
        <v>#N/A</v>
      </c>
      <c r="C32" s="983" t="e">
        <f>VLOOKUP(S32,'DATOS ¬'!$C$209:$R$212,4,FALSE)</f>
        <v>#N/A</v>
      </c>
      <c r="D32" s="586"/>
      <c r="E32" s="990" t="e">
        <f>VLOOKUP(S32,'DATOS ¬'!$C$209:$R$212,5,FALSE)</f>
        <v>#N/A</v>
      </c>
      <c r="F32" s="586" t="s">
        <v>419</v>
      </c>
      <c r="G32" s="983" t="e">
        <f>VLOOKUP(S32,'DATOS ¬'!$C$209:$R$212,6,FALSE)</f>
        <v>#N/A</v>
      </c>
      <c r="H32" s="586"/>
      <c r="I32" s="997" t="e">
        <f>VLOOKUP(S32,'DATOS ¬'!$C$209:$R$212,7,FALSE)</f>
        <v>#N/A</v>
      </c>
      <c r="J32" s="586" t="s">
        <v>419</v>
      </c>
      <c r="K32" s="472"/>
      <c r="L32" s="1053"/>
      <c r="M32" s="999"/>
      <c r="N32" s="1053"/>
      <c r="O32" s="984" t="e">
        <f>VLOOKUP(S32,'DATOS ¬'!$C$209:$R$212,8,FALSE)</f>
        <v>#N/A</v>
      </c>
      <c r="P32" s="1055" t="e">
        <f>VLOOKUP(S32,'DATOS ¬'!$C$209:$R$212,9,FALSE)</f>
        <v>#N/A</v>
      </c>
      <c r="Q32" s="59"/>
      <c r="R32" s="60"/>
      <c r="S32" s="65"/>
    </row>
    <row r="33" spans="1:19" s="3" customFormat="1" ht="81" customHeight="1" thickBot="1" x14ac:dyDescent="0.3">
      <c r="A33" s="976" t="s">
        <v>425</v>
      </c>
      <c r="B33" s="263" t="e">
        <f>VLOOKUP(S33,'DATOS ¬'!$C$132:$W$138,3,FALSE)</f>
        <v>#N/A</v>
      </c>
      <c r="C33" s="986" t="e">
        <f>VLOOKUP(S33,'DATOS ¬'!$C$132:$W$138,4,FALSE)</f>
        <v>#N/A</v>
      </c>
      <c r="D33" s="586" t="s">
        <v>203</v>
      </c>
      <c r="E33" s="986" t="e">
        <f>VLOOKUP(S33,'DATOS ¬'!$C$132:$W$138,5,FALSE)</f>
        <v>#N/A</v>
      </c>
      <c r="F33" s="586" t="s">
        <v>203</v>
      </c>
      <c r="G33" s="986" t="e">
        <f>VLOOKUP(S33,'DATOS ¬'!$C$132:$W$138,6,FALSE)</f>
        <v>#N/A</v>
      </c>
      <c r="H33" s="586" t="s">
        <v>203</v>
      </c>
      <c r="I33" s="986" t="e">
        <f>VLOOKUP(S33,'DATOS ¬'!$C$132:$W$138,7,FALSE)</f>
        <v>#N/A</v>
      </c>
      <c r="J33" s="586" t="s">
        <v>203</v>
      </c>
      <c r="K33" s="199" t="e">
        <f>VLOOKUP(S33,'DATOS ¬'!$C$132:$W$138,21,FALSE)</f>
        <v>#N/A</v>
      </c>
      <c r="L33" s="586" t="s">
        <v>203</v>
      </c>
      <c r="M33" s="999" t="e">
        <f>SQRT((I33/2)^2+(K33/SQRT(12))^2)</f>
        <v>#N/A</v>
      </c>
      <c r="N33" s="586" t="s">
        <v>203</v>
      </c>
      <c r="O33" s="984" t="e">
        <f>VLOOKUP(S33,'DATOS ¬'!$C$132:$W$138,8,FALSE)</f>
        <v>#N/A</v>
      </c>
      <c r="P33" s="1055" t="e">
        <f>VLOOKUP(S33,'DATOS ¬'!$C$132:$W$138,9,FALSE)</f>
        <v>#N/A</v>
      </c>
      <c r="Q33" s="1001" t="s">
        <v>426</v>
      </c>
      <c r="R33" s="1002" t="s">
        <v>427</v>
      </c>
      <c r="S33" s="67"/>
    </row>
    <row r="34" spans="1:19" s="3" customFormat="1" ht="30" customHeight="1" x14ac:dyDescent="0.25">
      <c r="A34" s="976" t="s">
        <v>428</v>
      </c>
      <c r="B34" s="1722" t="e">
        <f>VLOOKUP(S34,'DATOS ¬'!$C$141:$AA$148,3,FALSE)</f>
        <v>#N/A</v>
      </c>
      <c r="C34" s="1723" t="e">
        <f>VLOOKUP(S34,'DATOS ¬'!$C$141:$AA$148,4,FALSE)</f>
        <v>#N/A</v>
      </c>
      <c r="D34" s="1708" t="s">
        <v>203</v>
      </c>
      <c r="E34" s="1721" t="e">
        <f>VLOOKUP(S34,'DATOS ¬'!$C$141:$AA$148,5,FALSE)</f>
        <v>#N/A</v>
      </c>
      <c r="F34" s="1708" t="s">
        <v>203</v>
      </c>
      <c r="G34" s="1723" t="e">
        <f>VLOOKUP(S34,'DATOS ¬'!$C$141:$AA$148,6,FALSE)</f>
        <v>#N/A</v>
      </c>
      <c r="H34" s="1708" t="s">
        <v>203</v>
      </c>
      <c r="I34" s="1721" t="e">
        <f>VLOOKUP(S34,'DATOS ¬'!$C$141:$AA$148,7,FALSE)</f>
        <v>#N/A</v>
      </c>
      <c r="J34" s="1708" t="s">
        <v>203</v>
      </c>
      <c r="K34" s="1719" t="e">
        <f>VLOOKUP(S34,'DATOS ¬'!$C$141:$AA$148,25,FALSE)</f>
        <v>#N/A</v>
      </c>
      <c r="L34" s="1720" t="s">
        <v>203</v>
      </c>
      <c r="M34" s="1747" t="e">
        <f>SQRT((I34/2)^2+(K34/SQRT(12))^2)</f>
        <v>#N/A</v>
      </c>
      <c r="N34" s="1720" t="s">
        <v>203</v>
      </c>
      <c r="O34" s="1721" t="e">
        <f>VLOOKUP(S34,'DATOS ¬'!$C$141:$AA$148,8,FALSE)</f>
        <v>#N/A</v>
      </c>
      <c r="P34" s="1746" t="e">
        <f>VLOOKUP(S34,'DATOS ¬'!$C$141:$AA$148,9,FALSE)</f>
        <v>#N/A</v>
      </c>
      <c r="Q34" s="793" t="e">
        <f>VLOOKUP(S34,'DATOS ¬'!$C$141:$AA$148,12,FALSE)</f>
        <v>#N/A</v>
      </c>
      <c r="R34" s="794" t="e">
        <f>VLOOKUP(S34,'DATOS ¬'!$C$141:$AA$148,14,FALSE)</f>
        <v>#N/A</v>
      </c>
      <c r="S34" s="1713"/>
    </row>
    <row r="35" spans="1:19" s="3" customFormat="1" ht="30" customHeight="1" thickBot="1" x14ac:dyDescent="0.3">
      <c r="A35" s="975"/>
      <c r="B35" s="1722"/>
      <c r="C35" s="1723"/>
      <c r="D35" s="1708"/>
      <c r="E35" s="1721"/>
      <c r="F35" s="1708"/>
      <c r="G35" s="1723"/>
      <c r="H35" s="1708"/>
      <c r="I35" s="1721"/>
      <c r="J35" s="1708"/>
      <c r="K35" s="1719"/>
      <c r="L35" s="1720"/>
      <c r="M35" s="1747"/>
      <c r="N35" s="1720"/>
      <c r="O35" s="1721"/>
      <c r="P35" s="1746"/>
      <c r="Q35" s="795" t="e">
        <f>VLOOKUP(S34,'DATOS ¬'!$C$141:$AA$148,13,FALSE)</f>
        <v>#N/A</v>
      </c>
      <c r="R35" s="796" t="e">
        <f>VLOOKUP(S34,'DATOS ¬'!$C$141:$AA$148,15,FALSE)</f>
        <v>#N/A</v>
      </c>
      <c r="S35" s="1714"/>
    </row>
    <row r="36" spans="1:19" s="4" customFormat="1" ht="27.75" customHeight="1" thickBot="1" x14ac:dyDescent="0.3">
      <c r="A36" s="977" t="s">
        <v>429</v>
      </c>
      <c r="B36" s="263" t="e">
        <f>VLOOKUP(S36,'DATOS ¬'!$C$151:$K$152,3,FALSE)</f>
        <v>#N/A</v>
      </c>
      <c r="C36" s="984" t="e">
        <f>VLOOKUP(S36,'DATOS ¬'!$C$151:$K$152,4,FALSE)</f>
        <v>#N/A</v>
      </c>
      <c r="D36" s="586" t="s">
        <v>430</v>
      </c>
      <c r="E36" s="991" t="e">
        <f>VLOOKUP(S36,'DATOS ¬'!$C$151:$K$152,5,FALSE)</f>
        <v>#N/A</v>
      </c>
      <c r="F36" s="586" t="s">
        <v>430</v>
      </c>
      <c r="G36" s="994" t="e">
        <f>VLOOKUP(S36,'DATOS ¬'!$C$151:$K$152,6,FALSE)</f>
        <v>#N/A</v>
      </c>
      <c r="H36" s="586" t="s">
        <v>430</v>
      </c>
      <c r="I36" s="994" t="e">
        <f>VLOOKUP(S36,'DATOS ¬'!$C$151:$K$152,7,FALSE)</f>
        <v>#N/A</v>
      </c>
      <c r="J36" s="586" t="s">
        <v>430</v>
      </c>
      <c r="K36" s="470" t="e">
        <f>(I36/2)/SQRT(12)</f>
        <v>#N/A</v>
      </c>
      <c r="L36" s="586" t="s">
        <v>430</v>
      </c>
      <c r="M36" s="999" t="e">
        <f>SQRT((I36/2)^2+(K36)^2)</f>
        <v>#N/A</v>
      </c>
      <c r="N36" s="254" t="s">
        <v>430</v>
      </c>
      <c r="O36" s="985" t="e">
        <f>VLOOKUP(S36,'DATOS ¬'!$C$151:$K$152,8,FALSE)</f>
        <v>#N/A</v>
      </c>
      <c r="P36" s="1055" t="e">
        <f>VLOOKUP(S36,'DATOS ¬'!$C$151:$K$152,9,FALSE)</f>
        <v>#N/A</v>
      </c>
      <c r="Q36" s="50"/>
      <c r="R36" s="68"/>
      <c r="S36" s="58"/>
    </row>
    <row r="37" spans="1:19" s="3" customFormat="1" ht="30" customHeight="1" thickBot="1" x14ac:dyDescent="0.35">
      <c r="A37" s="978" t="s">
        <v>431</v>
      </c>
      <c r="B37" s="987" t="e">
        <f>VLOOKUP(S37,'DATOS ¬'!$C$157:$K$172,3,FALSE)</f>
        <v>#N/A</v>
      </c>
      <c r="C37" s="988" t="e">
        <f>VLOOKUP(S37,'DATOS ¬'!$C$157:$K$172,4,FALSE)</f>
        <v>#N/A</v>
      </c>
      <c r="D37" s="489" t="s">
        <v>432</v>
      </c>
      <c r="E37" s="992" t="e">
        <f>VLOOKUP(S37,'DATOS ¬'!$C$157:$K$172,5,FALSE)</f>
        <v>#N/A</v>
      </c>
      <c r="F37" s="489" t="s">
        <v>432</v>
      </c>
      <c r="G37" s="995" t="e">
        <f>VLOOKUP(S37,'DATOS ¬'!$C$157:$K$172,6,FALSE)</f>
        <v>#N/A</v>
      </c>
      <c r="H37" s="489" t="s">
        <v>432</v>
      </c>
      <c r="I37" s="998" t="e">
        <f>VLOOKUP(S37,'DATOS ¬'!$C$157:$K$172,7,FALSE)</f>
        <v>#N/A</v>
      </c>
      <c r="J37" s="489" t="s">
        <v>432</v>
      </c>
      <c r="K37" s="1051" t="e">
        <f>(I37/2)/SQRT(12)</f>
        <v>#N/A</v>
      </c>
      <c r="L37" s="489" t="s">
        <v>432</v>
      </c>
      <c r="M37" s="1000" t="e">
        <f>SQRT((I37/2)^2+(K37)^2)</f>
        <v>#N/A</v>
      </c>
      <c r="N37" s="489" t="s">
        <v>432</v>
      </c>
      <c r="O37" s="988" t="e">
        <f>VLOOKUP(S37,'DATOS ¬'!$C$157:$K$172,8,FALSE)</f>
        <v>#N/A</v>
      </c>
      <c r="P37" s="1057" t="e">
        <f>VLOOKUP(S37,'DATOS ¬'!$C$157:$K$172,9,FALSE)</f>
        <v>#N/A</v>
      </c>
      <c r="Q37" s="551"/>
      <c r="R37" s="69"/>
      <c r="S37" s="64"/>
    </row>
    <row r="38" spans="1:19" s="3" customFormat="1" ht="30" customHeight="1" thickBot="1" x14ac:dyDescent="0.35">
      <c r="A38" s="70"/>
      <c r="B38" s="71"/>
      <c r="C38" s="71"/>
      <c r="D38" s="72"/>
      <c r="E38" s="73"/>
      <c r="F38" s="72"/>
      <c r="G38" s="74"/>
      <c r="H38" s="72"/>
      <c r="I38" s="75"/>
      <c r="J38" s="72"/>
      <c r="K38" s="76"/>
      <c r="L38" s="72"/>
      <c r="M38" s="50"/>
      <c r="N38" s="72"/>
      <c r="O38" s="71"/>
      <c r="P38" s="77"/>
      <c r="Q38" s="50"/>
      <c r="R38" s="50"/>
      <c r="S38" s="78"/>
    </row>
    <row r="39" spans="1:19" s="3" customFormat="1" ht="30" customHeight="1" thickBot="1" x14ac:dyDescent="0.3">
      <c r="A39" s="1533" t="s">
        <v>433</v>
      </c>
      <c r="B39" s="1585"/>
      <c r="C39" s="1585"/>
      <c r="D39" s="1534"/>
      <c r="E39" s="53"/>
      <c r="F39" s="79"/>
      <c r="G39" s="74"/>
      <c r="H39" s="72"/>
      <c r="I39" s="75"/>
      <c r="J39" s="72"/>
      <c r="K39" s="76"/>
      <c r="L39" s="72"/>
      <c r="M39" s="50"/>
      <c r="N39" s="72"/>
      <c r="O39" s="71"/>
      <c r="P39" s="77"/>
      <c r="Q39" s="50"/>
      <c r="R39" s="50"/>
      <c r="S39" s="78"/>
    </row>
    <row r="40" spans="1:19" s="3" customFormat="1" ht="30" customHeight="1" thickBot="1" x14ac:dyDescent="0.35">
      <c r="A40" s="235" t="s">
        <v>434</v>
      </c>
      <c r="B40" s="851"/>
      <c r="C40" s="1680" t="s">
        <v>435</v>
      </c>
      <c r="D40" s="1682"/>
      <c r="E40" s="52"/>
      <c r="F40" s="72"/>
      <c r="G40" s="74"/>
      <c r="H40" s="72"/>
      <c r="I40" s="75"/>
      <c r="J40" s="72"/>
      <c r="K40" s="76"/>
      <c r="L40" s="72"/>
      <c r="M40" s="50"/>
      <c r="N40" s="72"/>
      <c r="O40" s="71"/>
      <c r="P40" s="77"/>
      <c r="Q40" s="50"/>
      <c r="R40" s="50"/>
      <c r="S40" s="78"/>
    </row>
    <row r="41" spans="1:19" s="3" customFormat="1" ht="30" customHeight="1" thickBot="1" x14ac:dyDescent="0.35">
      <c r="A41" s="1724" t="s">
        <v>24</v>
      </c>
      <c r="B41" s="1725"/>
      <c r="C41" s="1728" t="e">
        <f>VLOOKUP($E$41,'DATOS ¬'!$B$14:$N$16,2,FALSE)</f>
        <v>#N/A</v>
      </c>
      <c r="D41" s="1729"/>
      <c r="E41" s="80"/>
      <c r="F41" s="72"/>
      <c r="G41" s="74"/>
      <c r="H41" s="72"/>
      <c r="I41" s="75"/>
      <c r="J41" s="72"/>
      <c r="K41" s="76"/>
      <c r="L41" s="72"/>
      <c r="M41" s="50"/>
      <c r="N41" s="72"/>
      <c r="O41" s="71"/>
      <c r="P41" s="77"/>
      <c r="Q41" s="50"/>
      <c r="R41" s="50"/>
      <c r="S41" s="78"/>
    </row>
    <row r="42" spans="1:19" s="3" customFormat="1" ht="30" customHeight="1" thickBot="1" x14ac:dyDescent="0.35">
      <c r="A42" s="1724" t="s">
        <v>25</v>
      </c>
      <c r="B42" s="1725"/>
      <c r="C42" s="1730" t="e">
        <f>VLOOKUP($E$41,'DATOS ¬'!$B$14:$N$16,3,FALSE)</f>
        <v>#N/A</v>
      </c>
      <c r="D42" s="1731"/>
      <c r="E42" s="52"/>
      <c r="F42" s="72"/>
      <c r="G42" s="74"/>
      <c r="H42" s="72"/>
      <c r="I42" s="75"/>
      <c r="J42" s="72"/>
      <c r="K42" s="76"/>
      <c r="L42" s="72"/>
      <c r="M42" s="50"/>
      <c r="N42" s="72"/>
      <c r="O42" s="71"/>
      <c r="P42" s="77"/>
      <c r="Q42" s="50"/>
      <c r="R42" s="50"/>
      <c r="S42" s="78"/>
    </row>
    <row r="43" spans="1:19" s="3" customFormat="1" ht="30" customHeight="1" thickBot="1" x14ac:dyDescent="0.3">
      <c r="A43" s="1724" t="s">
        <v>436</v>
      </c>
      <c r="B43" s="1725"/>
      <c r="C43" s="1730" t="e">
        <f>VLOOKUP($E$41,'DATOS ¬'!$B$14:$N$16,4,FALSE)</f>
        <v>#N/A</v>
      </c>
      <c r="D43" s="1731"/>
      <c r="E43" s="52"/>
      <c r="F43" s="72"/>
      <c r="G43" s="74"/>
      <c r="H43" s="72"/>
      <c r="I43" s="75"/>
      <c r="J43" s="72"/>
      <c r="K43" s="76"/>
      <c r="L43" s="72"/>
      <c r="M43" s="50"/>
      <c r="N43" s="72"/>
      <c r="O43" s="71"/>
      <c r="P43" s="77"/>
      <c r="Q43" s="50"/>
      <c r="R43" s="50"/>
      <c r="S43" s="78"/>
    </row>
    <row r="44" spans="1:19" s="3" customFormat="1" ht="30" customHeight="1" thickBot="1" x14ac:dyDescent="0.3">
      <c r="A44" s="1724" t="s">
        <v>437</v>
      </c>
      <c r="B44" s="1725"/>
      <c r="C44" s="529" t="e">
        <f>VLOOKUP($E$41,'DATOS ¬'!$B$14:$N$16,5,FALSE)</f>
        <v>#N/A</v>
      </c>
      <c r="D44" s="594" t="s">
        <v>35</v>
      </c>
      <c r="E44" s="52"/>
      <c r="F44" s="72"/>
      <c r="G44" s="74"/>
      <c r="H44" s="72"/>
      <c r="I44" s="75"/>
      <c r="J44" s="72"/>
      <c r="K44" s="76"/>
      <c r="L44" s="72"/>
      <c r="M44" s="50"/>
      <c r="N44" s="72"/>
      <c r="O44" s="71"/>
      <c r="P44" s="77"/>
      <c r="Q44" s="50"/>
      <c r="R44" s="50"/>
      <c r="S44" s="78"/>
    </row>
    <row r="45" spans="1:19" s="3" customFormat="1" ht="30" customHeight="1" thickBot="1" x14ac:dyDescent="0.35">
      <c r="A45" s="1724" t="s">
        <v>438</v>
      </c>
      <c r="B45" s="1725"/>
      <c r="C45" s="529" t="e">
        <f>VLOOKUP($E$41,'DATOS ¬'!$B$14:$N$16,6,FALSE)</f>
        <v>#N/A</v>
      </c>
      <c r="D45" s="304">
        <f>'DATOS ¬'!G14</f>
        <v>0</v>
      </c>
      <c r="E45" s="53"/>
      <c r="F45" s="53"/>
      <c r="G45" s="74"/>
      <c r="H45" s="72"/>
      <c r="I45" s="75"/>
      <c r="J45" s="72"/>
      <c r="K45" s="76"/>
      <c r="L45" s="72"/>
      <c r="M45" s="50"/>
      <c r="N45" s="72"/>
      <c r="O45" s="71"/>
      <c r="P45" s="77"/>
      <c r="Q45" s="50"/>
      <c r="R45" s="50"/>
      <c r="S45" s="78"/>
    </row>
    <row r="46" spans="1:19" s="3" customFormat="1" ht="30" customHeight="1" thickBot="1" x14ac:dyDescent="0.3">
      <c r="A46" s="1724" t="s">
        <v>439</v>
      </c>
      <c r="B46" s="1725"/>
      <c r="C46" s="263" t="e">
        <f>VLOOKUP($E$41,'DATOS ¬'!$B$14:$N$16,7,FALSE)</f>
        <v>#N/A</v>
      </c>
      <c r="D46" s="594" t="s">
        <v>203</v>
      </c>
      <c r="E46" s="52"/>
      <c r="F46" s="72"/>
      <c r="G46" s="74"/>
      <c r="H46" s="72"/>
      <c r="I46" s="75"/>
      <c r="J46" s="72"/>
      <c r="K46" s="76"/>
      <c r="L46" s="72"/>
      <c r="M46" s="50"/>
      <c r="N46" s="72"/>
      <c r="O46" s="71"/>
      <c r="P46" s="77"/>
      <c r="Q46" s="50"/>
      <c r="R46" s="50"/>
      <c r="S46" s="78"/>
    </row>
    <row r="47" spans="1:19" s="3" customFormat="1" ht="30" customHeight="1" thickBot="1" x14ac:dyDescent="0.3">
      <c r="A47" s="1724" t="s">
        <v>440</v>
      </c>
      <c r="B47" s="1725"/>
      <c r="C47" s="529" t="e">
        <f>VLOOKUP($E$41,'DATOS ¬'!$B$14:$N$16,8,FALSE)</f>
        <v>#N/A</v>
      </c>
      <c r="D47" s="594" t="s">
        <v>203</v>
      </c>
      <c r="E47" s="52"/>
      <c r="F47" s="72"/>
      <c r="G47" s="74"/>
      <c r="H47" s="72"/>
      <c r="I47" s="75"/>
      <c r="J47" s="72"/>
      <c r="K47" s="76"/>
      <c r="L47" s="72"/>
      <c r="M47" s="50"/>
      <c r="N47" s="72"/>
      <c r="O47" s="71"/>
      <c r="P47" s="77"/>
      <c r="Q47" s="50"/>
      <c r="R47" s="50"/>
      <c r="S47" s="78"/>
    </row>
    <row r="48" spans="1:19" s="3" customFormat="1" ht="30" customHeight="1" thickBot="1" x14ac:dyDescent="0.3">
      <c r="A48" s="1724" t="s">
        <v>441</v>
      </c>
      <c r="B48" s="1725"/>
      <c r="C48" s="529" t="e">
        <f>VLOOKUP($E$41,'DATOS ¬'!$B$14:$N$16,9,FALSE)</f>
        <v>#N/A</v>
      </c>
      <c r="D48" s="594" t="s">
        <v>442</v>
      </c>
      <c r="E48" s="52"/>
      <c r="F48" s="72"/>
      <c r="G48" s="74"/>
      <c r="H48" s="72"/>
      <c r="I48" s="75"/>
      <c r="J48" s="72"/>
      <c r="K48" s="76"/>
      <c r="L48" s="72"/>
      <c r="M48" s="50"/>
      <c r="N48" s="72"/>
      <c r="O48" s="71"/>
      <c r="P48" s="77"/>
      <c r="Q48" s="50"/>
      <c r="R48" s="50"/>
      <c r="S48" s="78"/>
    </row>
    <row r="49" spans="1:20" s="3" customFormat="1" ht="30" customHeight="1" thickBot="1" x14ac:dyDescent="0.3">
      <c r="A49" s="1724" t="s">
        <v>443</v>
      </c>
      <c r="B49" s="1725"/>
      <c r="C49" s="1003" t="e">
        <f>VLOOKUP($E$41,'DATOS ¬'!$B$14:$N$16,10,FALSE)</f>
        <v>#N/A</v>
      </c>
      <c r="D49" s="594" t="s">
        <v>444</v>
      </c>
      <c r="E49" s="52"/>
      <c r="F49" s="72"/>
      <c r="G49" s="74"/>
      <c r="H49" s="72"/>
      <c r="I49" s="75"/>
      <c r="J49" s="72"/>
      <c r="K49" s="76"/>
      <c r="L49" s="72"/>
      <c r="M49" s="50"/>
      <c r="N49" s="72"/>
      <c r="O49" s="71"/>
      <c r="P49" s="77"/>
      <c r="Q49" s="50"/>
      <c r="R49" s="50"/>
      <c r="S49" s="78"/>
      <c r="T49" s="1182"/>
    </row>
    <row r="50" spans="1:20" s="3" customFormat="1" ht="30" customHeight="1" thickBot="1" x14ac:dyDescent="0.3">
      <c r="A50" s="1724" t="s">
        <v>445</v>
      </c>
      <c r="B50" s="1725"/>
      <c r="C50" s="529" t="e">
        <f>VLOOKUP($E$41,'DATOS ¬'!$B$14:$N$16,11,FALSE)</f>
        <v>#N/A</v>
      </c>
      <c r="D50" s="594" t="s">
        <v>444</v>
      </c>
      <c r="E50" s="52"/>
      <c r="F50" s="72"/>
      <c r="G50" s="74"/>
      <c r="H50" s="72"/>
      <c r="I50" s="75"/>
      <c r="J50" s="72"/>
      <c r="K50" s="76"/>
      <c r="L50" s="72"/>
      <c r="M50" s="50"/>
      <c r="N50" s="72"/>
      <c r="O50" s="71"/>
      <c r="P50" s="77"/>
      <c r="Q50" s="50"/>
      <c r="R50" s="50"/>
      <c r="S50" s="78"/>
      <c r="T50" s="1182"/>
    </row>
    <row r="51" spans="1:20" s="3" customFormat="1" ht="39.75" customHeight="1" thickBot="1" x14ac:dyDescent="0.3">
      <c r="A51" s="1726" t="s">
        <v>446</v>
      </c>
      <c r="B51" s="1727"/>
      <c r="C51" s="1004">
        <f>'DATOS ¬'!M25</f>
        <v>9.9000000000000001E-6</v>
      </c>
      <c r="D51" s="594" t="s">
        <v>442</v>
      </c>
      <c r="E51" s="52"/>
      <c r="F51" s="72"/>
      <c r="G51" s="74"/>
      <c r="H51" s="72"/>
      <c r="I51" s="75"/>
      <c r="J51" s="72"/>
      <c r="K51" s="76"/>
      <c r="L51" s="72"/>
      <c r="M51" s="50"/>
      <c r="N51" s="72"/>
      <c r="O51" s="71"/>
      <c r="P51" s="77"/>
      <c r="Q51" s="50"/>
      <c r="R51" s="50"/>
      <c r="S51" s="78"/>
      <c r="T51" s="1182"/>
    </row>
    <row r="52" spans="1:20" s="3" customFormat="1" ht="30" customHeight="1" thickBot="1" x14ac:dyDescent="0.3">
      <c r="A52" s="53"/>
      <c r="B52" s="53"/>
      <c r="C52" s="532" t="e">
        <f>IF(C45=0.5,1892.706,IF(C45=5,18927.06,IF(C45=20,20000,IF(C45=2,2000))))</f>
        <v>#N/A</v>
      </c>
      <c r="D52" s="1005" t="s">
        <v>203</v>
      </c>
      <c r="E52" s="53"/>
      <c r="F52" s="53"/>
      <c r="G52" s="53"/>
      <c r="H52" s="53"/>
      <c r="I52" s="53"/>
      <c r="J52" s="53"/>
      <c r="K52" s="53"/>
      <c r="L52" s="53"/>
      <c r="M52" s="53"/>
      <c r="N52" s="53"/>
      <c r="O52" s="53"/>
      <c r="P52" s="53"/>
      <c r="Q52" s="53"/>
      <c r="R52" s="53"/>
      <c r="S52" s="53"/>
      <c r="T52" s="1182"/>
    </row>
    <row r="53" spans="1:20" s="3" customFormat="1" ht="30" customHeight="1" thickBot="1" x14ac:dyDescent="0.3">
      <c r="A53" s="1696" t="s">
        <v>447</v>
      </c>
      <c r="B53" s="1752"/>
      <c r="C53" s="310"/>
      <c r="D53" s="81"/>
      <c r="E53" s="53"/>
      <c r="F53" s="53"/>
      <c r="G53" s="53"/>
      <c r="H53" s="53"/>
      <c r="I53" s="53"/>
      <c r="J53" s="53"/>
      <c r="K53" s="53"/>
      <c r="L53" s="53"/>
      <c r="M53" s="53"/>
      <c r="N53" s="53"/>
      <c r="O53" s="53"/>
      <c r="P53" s="53"/>
      <c r="Q53" s="53"/>
      <c r="R53" s="53"/>
      <c r="S53" s="53"/>
      <c r="T53" s="1182"/>
    </row>
    <row r="54" spans="1:20" s="3" customFormat="1" ht="30" customHeight="1" thickBot="1" x14ac:dyDescent="0.3">
      <c r="A54" s="53"/>
      <c r="B54" s="53"/>
      <c r="C54" s="53"/>
      <c r="D54" s="53"/>
      <c r="E54" s="53"/>
      <c r="F54" s="53"/>
      <c r="G54" s="53"/>
      <c r="H54" s="53"/>
      <c r="I54" s="53"/>
      <c r="J54" s="53"/>
      <c r="K54" s="53"/>
      <c r="L54" s="53"/>
      <c r="M54" s="53"/>
      <c r="N54" s="53"/>
      <c r="O54" s="53"/>
      <c r="P54" s="53"/>
      <c r="Q54" s="53"/>
      <c r="R54" s="53"/>
      <c r="S54" s="53"/>
      <c r="T54" s="1183"/>
    </row>
    <row r="55" spans="1:20" s="3" customFormat="1" ht="30" customHeight="1" thickBot="1" x14ac:dyDescent="0.3">
      <c r="A55" s="1680" t="s">
        <v>448</v>
      </c>
      <c r="B55" s="1715"/>
      <c r="C55" s="1716"/>
      <c r="D55" s="1717"/>
      <c r="E55" s="1717"/>
      <c r="F55" s="1718"/>
      <c r="G55" s="56"/>
      <c r="H55" s="53"/>
      <c r="I55" s="53"/>
      <c r="J55" s="53"/>
      <c r="K55" s="53"/>
      <c r="L55" s="53"/>
      <c r="M55" s="53"/>
      <c r="N55" s="53"/>
      <c r="O55" s="53"/>
      <c r="P55" s="53"/>
      <c r="Q55" s="53"/>
      <c r="R55" s="53"/>
      <c r="S55" s="53"/>
      <c r="T55" s="1182"/>
    </row>
    <row r="56" spans="1:20" s="3" customFormat="1" ht="30" customHeight="1" thickBot="1" x14ac:dyDescent="0.3">
      <c r="A56" s="53"/>
      <c r="B56" s="53"/>
      <c r="C56" s="53"/>
      <c r="D56" s="53"/>
      <c r="E56" s="53"/>
      <c r="F56" s="53"/>
      <c r="G56" s="53"/>
      <c r="H56" s="53"/>
      <c r="I56" s="53"/>
      <c r="J56" s="53"/>
      <c r="K56" s="53"/>
      <c r="L56" s="53"/>
      <c r="M56" s="53"/>
      <c r="N56" s="53"/>
      <c r="O56" s="53"/>
      <c r="P56" s="53"/>
      <c r="Q56" s="53"/>
      <c r="R56" s="53"/>
      <c r="S56" s="53"/>
      <c r="T56" s="1182"/>
    </row>
    <row r="57" spans="1:20" s="3" customFormat="1" ht="30" customHeight="1" thickBot="1" x14ac:dyDescent="0.3">
      <c r="A57" s="1760" t="s">
        <v>449</v>
      </c>
      <c r="B57" s="1761"/>
      <c r="C57" s="1761"/>
      <c r="D57" s="1761"/>
      <c r="E57" s="1762"/>
      <c r="F57" s="1182"/>
      <c r="G57" s="1182"/>
      <c r="H57" s="79"/>
      <c r="I57" s="1182"/>
      <c r="J57" s="1182"/>
      <c r="K57" s="1182"/>
      <c r="L57" s="1182"/>
      <c r="M57" s="1182"/>
      <c r="N57" s="1182"/>
      <c r="O57" s="1182"/>
      <c r="P57" s="53"/>
      <c r="Q57" s="53"/>
      <c r="R57" s="53"/>
      <c r="S57" s="53"/>
      <c r="T57" s="1182"/>
    </row>
    <row r="58" spans="1:20" s="3" customFormat="1" ht="30" customHeight="1" thickBot="1" x14ac:dyDescent="0.3">
      <c r="A58" s="968"/>
      <c r="B58" s="1058" t="s">
        <v>450</v>
      </c>
      <c r="C58" s="229"/>
      <c r="D58" s="1010" t="s">
        <v>450</v>
      </c>
      <c r="E58" s="230"/>
      <c r="F58" s="1182"/>
      <c r="G58" s="1182"/>
      <c r="H58" s="53"/>
      <c r="I58" s="1182"/>
      <c r="J58" s="1182"/>
      <c r="K58" s="1182"/>
      <c r="L58" s="1182"/>
      <c r="M58" s="1182"/>
      <c r="N58" s="1182"/>
      <c r="O58" s="1182"/>
      <c r="P58" s="53"/>
      <c r="Q58" s="53"/>
      <c r="R58" s="53"/>
      <c r="S58" s="53"/>
      <c r="T58" s="1182"/>
    </row>
    <row r="59" spans="1:20" s="3" customFormat="1" ht="30" customHeight="1" x14ac:dyDescent="0.25">
      <c r="A59" s="969" t="s">
        <v>451</v>
      </c>
      <c r="B59" s="233" t="e">
        <f>VLOOKUP(C58,'DATOS ¬'!B217:K248,8,FALSE)</f>
        <v>#N/A</v>
      </c>
      <c r="C59" s="228" t="e">
        <f>(VLOOKUP(C58,'DATOS ¬'!B217:K248,9,FALSE))/1000</f>
        <v>#N/A</v>
      </c>
      <c r="D59" s="232" t="e">
        <f>VLOOKUP(E58,'DATOS ¬'!B217:K248,8,FALSE)</f>
        <v>#N/A</v>
      </c>
      <c r="E59" s="234" t="e">
        <f>(VLOOKUP(E58,'DATOS ¬'!B217:K248,9,FALSE))/1000</f>
        <v>#N/A</v>
      </c>
      <c r="F59" s="1182"/>
      <c r="G59" s="1182"/>
      <c r="H59" s="53"/>
      <c r="I59" s="1182"/>
      <c r="J59" s="1182"/>
      <c r="K59" s="1182"/>
      <c r="L59" s="1182"/>
      <c r="M59" s="1182"/>
      <c r="N59" s="1182"/>
      <c r="O59" s="1182"/>
      <c r="P59" s="53"/>
      <c r="Q59" s="53"/>
      <c r="R59" s="53"/>
      <c r="S59" s="53"/>
      <c r="T59" s="1184"/>
    </row>
    <row r="60" spans="1:20" s="3" customFormat="1" ht="30" customHeight="1" x14ac:dyDescent="0.25">
      <c r="A60" s="970">
        <v>1</v>
      </c>
      <c r="B60" s="414"/>
      <c r="C60" s="194" t="e">
        <f>B60-$C$59</f>
        <v>#N/A</v>
      </c>
      <c r="D60" s="416"/>
      <c r="E60" s="304" t="e">
        <f>D60+$E$59</f>
        <v>#N/A</v>
      </c>
      <c r="F60" s="1182"/>
      <c r="G60" s="1182"/>
      <c r="H60" s="1182"/>
      <c r="I60" s="1182"/>
      <c r="J60" s="1182"/>
      <c r="K60" s="1182"/>
      <c r="L60" s="1182"/>
      <c r="M60" s="1182"/>
      <c r="N60" s="1182"/>
      <c r="O60" s="1182"/>
      <c r="P60" s="1182"/>
      <c r="Q60" s="53"/>
      <c r="R60" s="53"/>
      <c r="S60" s="53"/>
      <c r="T60" s="1184"/>
    </row>
    <row r="61" spans="1:20" s="3" customFormat="1" ht="30" customHeight="1" x14ac:dyDescent="0.25">
      <c r="A61" s="970">
        <v>2</v>
      </c>
      <c r="B61" s="414"/>
      <c r="C61" s="194" t="e">
        <f>B61-$C$59</f>
        <v>#N/A</v>
      </c>
      <c r="D61" s="416"/>
      <c r="E61" s="304" t="e">
        <f>D61+$E$59</f>
        <v>#N/A</v>
      </c>
      <c r="F61" s="1182"/>
      <c r="G61" s="1182"/>
      <c r="H61" s="1182"/>
      <c r="I61" s="1182"/>
      <c r="J61" s="1182"/>
      <c r="K61" s="1182"/>
      <c r="L61" s="1182"/>
      <c r="M61" s="1182"/>
      <c r="N61" s="1182"/>
      <c r="O61" s="1182"/>
      <c r="P61" s="1182"/>
      <c r="Q61" s="106"/>
      <c r="R61" s="84"/>
      <c r="S61" s="53"/>
      <c r="T61" s="1184"/>
    </row>
    <row r="62" spans="1:20" s="3" customFormat="1" ht="30" customHeight="1" x14ac:dyDescent="0.25">
      <c r="A62" s="970">
        <v>3</v>
      </c>
      <c r="B62" s="414"/>
      <c r="C62" s="194" t="e">
        <f>B62-$C$59</f>
        <v>#N/A</v>
      </c>
      <c r="D62" s="416"/>
      <c r="E62" s="304" t="e">
        <f>D62+$E$59</f>
        <v>#N/A</v>
      </c>
      <c r="F62" s="1182"/>
      <c r="G62" s="1182"/>
      <c r="H62" s="1182"/>
      <c r="I62" s="53"/>
      <c r="J62" s="1182"/>
      <c r="K62" s="1182"/>
      <c r="L62" s="1182"/>
      <c r="M62" s="1182"/>
      <c r="N62" s="1182"/>
      <c r="O62" s="1182"/>
      <c r="P62" s="1182"/>
      <c r="Q62" s="53"/>
      <c r="R62" s="53"/>
      <c r="S62" s="53"/>
      <c r="T62" s="1182"/>
    </row>
    <row r="63" spans="1:20" s="3" customFormat="1" ht="33.75" customHeight="1" x14ac:dyDescent="0.25">
      <c r="A63" s="970">
        <v>4</v>
      </c>
      <c r="B63" s="414"/>
      <c r="C63" s="194" t="e">
        <f>B63-$C$59</f>
        <v>#N/A</v>
      </c>
      <c r="D63" s="416"/>
      <c r="E63" s="304" t="e">
        <f>D63+$E$59</f>
        <v>#N/A</v>
      </c>
      <c r="F63" s="1182"/>
      <c r="G63" s="1182"/>
      <c r="H63" s="1182"/>
      <c r="I63" s="1182"/>
      <c r="J63" s="1182"/>
      <c r="K63" s="1182"/>
      <c r="L63" s="1182"/>
      <c r="M63" s="1182"/>
      <c r="N63" s="1182"/>
      <c r="O63" s="1182"/>
      <c r="P63" s="1182"/>
      <c r="Q63" s="53"/>
      <c r="R63" s="53"/>
      <c r="S63" s="53"/>
      <c r="T63" s="1182"/>
    </row>
    <row r="64" spans="1:20" s="3" customFormat="1" ht="48" customHeight="1" thickBot="1" x14ac:dyDescent="0.25">
      <c r="A64" s="971">
        <v>5</v>
      </c>
      <c r="B64" s="415"/>
      <c r="C64" s="471" t="e">
        <f>B64-$C$59</f>
        <v>#N/A</v>
      </c>
      <c r="D64" s="417"/>
      <c r="E64" s="1009" t="e">
        <f>D64+$E$59</f>
        <v>#N/A</v>
      </c>
      <c r="F64" s="1185"/>
      <c r="G64" s="1182"/>
      <c r="H64" s="1182"/>
      <c r="I64" s="1182"/>
      <c r="J64" s="1182"/>
      <c r="K64" s="1182"/>
      <c r="L64" s="1182"/>
      <c r="M64" s="1182"/>
      <c r="N64" s="1182"/>
      <c r="O64" s="1182"/>
      <c r="P64" s="70"/>
      <c r="Q64" s="53"/>
      <c r="R64" s="53"/>
      <c r="S64" s="53"/>
      <c r="T64" s="1182"/>
    </row>
    <row r="65" spans="1:19" s="3" customFormat="1" ht="63.75" customHeight="1" thickBot="1" x14ac:dyDescent="0.3">
      <c r="A65" s="1182"/>
      <c r="B65" s="1007" t="s">
        <v>452</v>
      </c>
      <c r="C65" s="1006" t="e">
        <f>AVERAGE(C60:C64)</f>
        <v>#N/A</v>
      </c>
      <c r="D65" s="1006" t="s">
        <v>452</v>
      </c>
      <c r="E65" s="1008" t="e">
        <f>AVERAGE(E60:E64)</f>
        <v>#N/A</v>
      </c>
      <c r="F65" s="1182"/>
      <c r="G65" s="1182"/>
      <c r="H65" s="1182"/>
      <c r="I65" s="1182"/>
      <c r="J65" s="1186"/>
      <c r="K65" s="1182"/>
      <c r="L65" s="1182"/>
      <c r="M65" s="1182"/>
      <c r="N65" s="1182"/>
      <c r="O65" s="1182"/>
      <c r="P65" s="89"/>
      <c r="Q65" s="53"/>
      <c r="R65" s="53"/>
      <c r="S65" s="53"/>
    </row>
    <row r="66" spans="1:19" s="3" customFormat="1" ht="41.1" customHeight="1" thickBot="1" x14ac:dyDescent="0.3">
      <c r="A66" s="1533" t="s">
        <v>453</v>
      </c>
      <c r="B66" s="1585"/>
      <c r="C66" s="1585"/>
      <c r="D66" s="1534"/>
      <c r="E66" s="1691" t="s">
        <v>454</v>
      </c>
      <c r="F66" s="1692"/>
      <c r="G66" s="1182"/>
      <c r="H66" s="1182"/>
      <c r="I66" s="1182"/>
      <c r="J66" s="1186"/>
      <c r="K66" s="1182"/>
      <c r="L66" s="1182"/>
      <c r="M66" s="1182"/>
      <c r="N66" s="1182"/>
      <c r="O66" s="1182"/>
      <c r="P66" s="89"/>
      <c r="Q66" s="53"/>
      <c r="R66" s="53"/>
      <c r="S66" s="53"/>
    </row>
    <row r="67" spans="1:19" s="3" customFormat="1" ht="41.1" customHeight="1" thickBot="1" x14ac:dyDescent="0.3">
      <c r="A67" s="85" t="s">
        <v>455</v>
      </c>
      <c r="B67" s="86" t="e">
        <f>B82+((VLOOKUP($H$81,'DATOS ¬'!$B$123:$O$129,9,FALSE))*B82+(VLOOKUP($H$81,'DATOS ¬'!$B$123:$O$173,10,FALSE)))</f>
        <v>#N/A</v>
      </c>
      <c r="C67" s="86" t="e">
        <f>C82+((VLOOKUP($H$81,'DATOS ¬'!$B$123:$O$129,9,FALSE))*C82+(VLOOKUP($H$81,'DATOS ¬'!$B$123:$O$129,10,FALSE)))</f>
        <v>#N/A</v>
      </c>
      <c r="D67" s="211" t="e">
        <f>D82+((VLOOKUP($H$81,'DATOS ¬'!$B$123:$O$129,9,FALSE))*D82+(VLOOKUP($H$81,'DATOS ¬'!$B$123:$O$129,10,FALSE)))</f>
        <v>#N/A</v>
      </c>
      <c r="E67" s="1685"/>
      <c r="F67" s="1686"/>
      <c r="G67" s="1763" t="e">
        <f>IF(AND(17&lt;=B67, 17&lt;=C67, 17&lt;=D67, B67&lt;=23,C67&lt;=23,D67&lt;=23),"La temperatura está dentro del intervalo de condiciones ambientales","La temperatura de al menos una medición está fuera del intervalo")</f>
        <v>#N/A</v>
      </c>
      <c r="H67" s="1764"/>
      <c r="I67" s="1764"/>
      <c r="J67" s="1764"/>
      <c r="K67" s="1182"/>
      <c r="L67" s="1182"/>
      <c r="M67" s="1182"/>
      <c r="N67" s="1182"/>
      <c r="O67" s="1182"/>
      <c r="P67" s="89"/>
      <c r="Q67" s="53"/>
      <c r="R67" s="53"/>
      <c r="S67" s="53"/>
    </row>
    <row r="68" spans="1:19" s="3" customFormat="1" ht="41.1" customHeight="1" thickBot="1" x14ac:dyDescent="0.3">
      <c r="A68" s="85" t="s">
        <v>456</v>
      </c>
      <c r="B68" s="86" t="e">
        <f>B83+((VLOOKUP($H$81,'DATOS ¬'!$B$123:$O$129,11,FALSE))*B83+(VLOOKUP($H$81,'DATOS ¬'!$B$123:$O$129,12,FALSE)))</f>
        <v>#N/A</v>
      </c>
      <c r="C68" s="86" t="e">
        <f>C83+((VLOOKUP($H$81,'DATOS ¬'!$B$123:$O$129,11,FALSE))*C83+(VLOOKUP($H$81,'DATOS ¬'!$B$123:$O$129,12,FALSE)))</f>
        <v>#N/A</v>
      </c>
      <c r="D68" s="211" t="e">
        <f>D83+((VLOOKUP($H$81,'DATOS ¬'!$B$123:$O$129,11,FALSE))*D83+(VLOOKUP($H$81,'DATOS ¬'!$B$123:$O$129,12,FALSE)))</f>
        <v>#N/A</v>
      </c>
      <c r="E68" s="1687"/>
      <c r="F68" s="1688"/>
      <c r="G68" s="1763" t="e">
        <f>IF(AND(30&lt;=B68, 30&lt;=C68, 30&lt;=D68, B68&lt;=80, C68&lt;=80, D68&lt;=80),"La humedad está dentro del intervalo de condiciones ambientales","La humedad de al menos una medición está fuera del intervalo")</f>
        <v>#N/A</v>
      </c>
      <c r="H68" s="1764"/>
      <c r="I68" s="1764"/>
      <c r="J68" s="1764"/>
      <c r="K68" s="1182"/>
      <c r="L68" s="1182"/>
      <c r="M68" s="1182"/>
      <c r="N68" s="1182"/>
      <c r="O68" s="1182"/>
      <c r="P68" s="89"/>
      <c r="Q68" s="53"/>
      <c r="R68" s="53"/>
      <c r="S68" s="53"/>
    </row>
    <row r="69" spans="1:19" s="3" customFormat="1" ht="41.1" customHeight="1" thickBot="1" x14ac:dyDescent="0.3">
      <c r="A69" s="90" t="s">
        <v>503</v>
      </c>
      <c r="B69" s="91" t="e">
        <f>B84+((VLOOKUP($H$81,'DATOS ¬'!$B$123:$O$129,13,FALSE))*B84+(VLOOKUP($H$81,'DATOS ¬'!$B$123:$O$129,14,FALSE)))</f>
        <v>#N/A</v>
      </c>
      <c r="C69" s="91" t="e">
        <f>C84+((VLOOKUP($H$81,'DATOS ¬'!$B$123:$O$129,13,FALSE))*C84+(VLOOKUP($H$81,'DATOS ¬'!$B$123:$O$129,14,FALSE)))</f>
        <v>#N/A</v>
      </c>
      <c r="D69" s="212" t="e">
        <f>D84+((VLOOKUP($H$81,'DATOS ¬'!$B$123:$O$129,13,FALSE))*D84+(VLOOKUP($H$81,'DATOS ¬'!$B$123:$O$129,14,FALSE)))</f>
        <v>#N/A</v>
      </c>
      <c r="E69" s="1689"/>
      <c r="F69" s="1690"/>
      <c r="G69" s="1182"/>
      <c r="H69" s="1182"/>
      <c r="I69" s="1182"/>
      <c r="J69" s="1182"/>
      <c r="K69" s="1182"/>
      <c r="L69" s="1182"/>
      <c r="M69" s="1182"/>
      <c r="N69" s="1182"/>
      <c r="O69" s="1182"/>
      <c r="P69" s="89"/>
      <c r="Q69" s="53"/>
      <c r="R69" s="53"/>
      <c r="S69" s="53"/>
    </row>
    <row r="70" spans="1:19" s="3" customFormat="1" ht="13.5" customHeight="1" thickBot="1" x14ac:dyDescent="0.3">
      <c r="A70" s="1182"/>
      <c r="B70" s="1182"/>
      <c r="C70" s="1182"/>
      <c r="D70" s="1182"/>
      <c r="E70" s="1182"/>
      <c r="F70" s="70"/>
      <c r="G70" s="1182"/>
      <c r="H70" s="1182"/>
      <c r="I70" s="1182"/>
      <c r="J70" s="1182"/>
      <c r="K70" s="1182"/>
      <c r="L70" s="1182"/>
      <c r="M70" s="1182"/>
      <c r="N70" s="1182"/>
      <c r="O70" s="1182"/>
      <c r="P70" s="89"/>
      <c r="Q70" s="53"/>
      <c r="R70" s="53"/>
      <c r="S70" s="53"/>
    </row>
    <row r="71" spans="1:19" s="3" customFormat="1" ht="41.1" customHeight="1" thickBot="1" x14ac:dyDescent="0.3">
      <c r="A71" s="1691" t="s">
        <v>458</v>
      </c>
      <c r="B71" s="1693"/>
      <c r="C71" s="1693"/>
      <c r="D71" s="1692"/>
      <c r="E71" s="1691" t="s">
        <v>454</v>
      </c>
      <c r="F71" s="1692"/>
      <c r="G71" s="1182"/>
      <c r="H71" s="1182"/>
      <c r="I71" s="1182"/>
      <c r="J71" s="1182"/>
      <c r="K71" s="1182"/>
      <c r="L71" s="1182"/>
      <c r="M71" s="1182"/>
      <c r="N71" s="1182"/>
      <c r="O71" s="1182"/>
      <c r="P71" s="89"/>
      <c r="Q71" s="53"/>
      <c r="R71" s="53"/>
      <c r="S71" s="53"/>
    </row>
    <row r="72" spans="1:19" s="3" customFormat="1" ht="41.1" customHeight="1" x14ac:dyDescent="0.25">
      <c r="A72" s="1755"/>
      <c r="B72" s="1059">
        <v>1</v>
      </c>
      <c r="C72" s="1059">
        <v>2</v>
      </c>
      <c r="D72" s="1060">
        <v>3</v>
      </c>
      <c r="E72" s="224"/>
      <c r="F72" s="225"/>
      <c r="G72" s="1182"/>
      <c r="H72" s="1182"/>
      <c r="I72" s="1182"/>
      <c r="J72" s="1182"/>
      <c r="K72" s="1182"/>
      <c r="L72" s="1182"/>
      <c r="M72" s="1182"/>
      <c r="N72" s="1182"/>
      <c r="O72" s="1182"/>
      <c r="P72" s="89"/>
      <c r="Q72" s="53"/>
      <c r="R72" s="53"/>
      <c r="S72" s="53"/>
    </row>
    <row r="73" spans="1:19" s="3" customFormat="1" ht="41.1" customHeight="1" thickBot="1" x14ac:dyDescent="0.3">
      <c r="A73" s="1756"/>
      <c r="B73" s="1061" t="e">
        <f>(((0.34848*(B69))-(0.009*(B68)*(EXP(0.061*(B67)))))/(273.15+(B67)))/1000</f>
        <v>#N/A</v>
      </c>
      <c r="C73" s="1061" t="e">
        <f>(((0.34848*(C69))-(0.009*(C68)*(EXP(0.061*(C67)))))/(273.15+(C67)))/1000</f>
        <v>#N/A</v>
      </c>
      <c r="D73" s="1062" t="e">
        <f>(((0.34848*(D69))-(0.009*(D68)*(EXP(0.061*(D67)))))/(273.15+(D67)))/1000</f>
        <v>#N/A</v>
      </c>
      <c r="E73" s="210"/>
      <c r="F73" s="226"/>
      <c r="G73" s="1182"/>
      <c r="H73" s="1182"/>
      <c r="I73" s="1182"/>
      <c r="J73" s="1182"/>
      <c r="K73" s="1182"/>
      <c r="L73" s="1182"/>
      <c r="M73" s="1182"/>
      <c r="N73" s="1182"/>
      <c r="O73" s="88"/>
      <c r="P73" s="89"/>
      <c r="Q73" s="53"/>
      <c r="R73" s="53"/>
      <c r="S73" s="53"/>
    </row>
    <row r="74" spans="1:19" s="3" customFormat="1" ht="14.25" customHeight="1" thickBot="1" x14ac:dyDescent="0.3">
      <c r="A74" s="1182"/>
      <c r="B74" s="1182"/>
      <c r="C74" s="1182"/>
      <c r="D74" s="1182"/>
      <c r="E74" s="1182"/>
      <c r="F74" s="1182"/>
      <c r="G74" s="1182"/>
      <c r="H74" s="1182"/>
      <c r="I74" s="1182"/>
      <c r="J74" s="1182"/>
      <c r="K74" s="1182"/>
      <c r="L74" s="1182"/>
      <c r="M74" s="1182"/>
      <c r="N74" s="1182"/>
      <c r="O74" s="1182"/>
      <c r="P74" s="89"/>
      <c r="Q74" s="53"/>
      <c r="R74" s="53"/>
      <c r="S74" s="53"/>
    </row>
    <row r="75" spans="1:19" s="3" customFormat="1" ht="41.1" customHeight="1" thickBot="1" x14ac:dyDescent="0.3">
      <c r="A75" s="1533" t="s">
        <v>459</v>
      </c>
      <c r="B75" s="1585"/>
      <c r="C75" s="1585"/>
      <c r="D75" s="1534"/>
      <c r="E75" s="1533" t="s">
        <v>454</v>
      </c>
      <c r="F75" s="1534"/>
      <c r="G75" s="1182"/>
      <c r="H75" s="1182"/>
      <c r="I75" s="1182"/>
      <c r="J75" s="1182"/>
      <c r="K75" s="1182"/>
      <c r="L75" s="1182"/>
      <c r="M75" s="1182"/>
      <c r="N75" s="1182"/>
      <c r="O75" s="1182"/>
      <c r="P75" s="89"/>
      <c r="Q75" s="53"/>
      <c r="R75" s="53"/>
      <c r="S75" s="53"/>
    </row>
    <row r="76" spans="1:19" s="3" customFormat="1" ht="41.1" customHeight="1" x14ac:dyDescent="0.25">
      <c r="A76" s="1757"/>
      <c r="B76" s="1059">
        <v>1</v>
      </c>
      <c r="C76" s="1059">
        <v>2</v>
      </c>
      <c r="D76" s="1060">
        <v>3</v>
      </c>
      <c r="E76" s="224"/>
      <c r="F76" s="225"/>
      <c r="G76" s="1182"/>
      <c r="H76" s="1182"/>
      <c r="I76" s="1182"/>
      <c r="J76" s="1182"/>
      <c r="K76" s="1182"/>
      <c r="L76" s="1182"/>
      <c r="M76" s="1182"/>
      <c r="N76" s="1182"/>
      <c r="O76" s="1182"/>
      <c r="P76" s="89"/>
      <c r="Q76" s="53"/>
      <c r="R76" s="53"/>
      <c r="S76" s="53"/>
    </row>
    <row r="77" spans="1:19" s="3" customFormat="1" ht="63" customHeight="1" thickBot="1" x14ac:dyDescent="0.3">
      <c r="A77" s="1758"/>
      <c r="B77" s="1061" t="e">
        <f>(((999.972*(1-(((B88+(-3.983035))^2*(B88+301.797))/(522528.9*(B88+69.34881)))))*(1+((0.0000000005074+((-0.00000000000326)*B88)+(0.0000000000000416*B88^2))*((B69*100)-101325))))+((-0.004612)+(0.000106*B88)))/1000</f>
        <v>#VALUE!</v>
      </c>
      <c r="C77" s="1061" t="e">
        <f>(((999.972*(1-(((C88+(-3.983035))^2*(C88+301.797))/(522528.9*(C88+69.34881)))))*(1+((0.0000000005074+((-0.00000000000326)*C88)+(0.0000000000000416*C88^2))*((C69*100)-101325))))+((-0.004612)+(0.000106*C88)))/1000</f>
        <v>#VALUE!</v>
      </c>
      <c r="D77" s="1062" t="e">
        <f>(((999.972*(1-(((D88+(-3.983035))^2*(D88+301.797))/(522528.9*(D88+69.34881)))))*(1+((0.0000000005074+((-0.00000000000326)*D88)+(0.0000000000000416*D88^2))*((D69*100)-101325))))+((-0.004612)+(0.000106*D88)))/1000</f>
        <v>#VALUE!</v>
      </c>
      <c r="E77" s="210"/>
      <c r="F77" s="226"/>
      <c r="G77" s="1182"/>
      <c r="H77" s="1182"/>
      <c r="I77" s="1182"/>
      <c r="J77" s="1182"/>
      <c r="K77" s="1182"/>
      <c r="L77" s="1182"/>
      <c r="M77" s="1182"/>
      <c r="N77" s="1182"/>
      <c r="O77" s="88"/>
      <c r="P77" s="89"/>
      <c r="Q77" s="53"/>
      <c r="R77" s="53"/>
      <c r="S77" s="53"/>
    </row>
    <row r="78" spans="1:19" s="3" customFormat="1" ht="51" customHeight="1" x14ac:dyDescent="0.25">
      <c r="A78" s="1182"/>
      <c r="B78" s="1182"/>
      <c r="C78" s="1182"/>
      <c r="D78" s="1182"/>
      <c r="E78" s="1182"/>
      <c r="F78" s="1182"/>
      <c r="G78" s="1182"/>
      <c r="H78" s="1182"/>
      <c r="I78" s="50"/>
      <c r="J78" s="50"/>
      <c r="K78" s="87"/>
      <c r="L78" s="50"/>
      <c r="M78" s="50"/>
      <c r="N78" s="87"/>
      <c r="O78" s="88"/>
      <c r="P78" s="89"/>
      <c r="Q78" s="53"/>
      <c r="R78" s="53"/>
      <c r="S78" s="53"/>
    </row>
    <row r="79" spans="1:19" s="3" customFormat="1" ht="42" customHeight="1" thickBot="1" x14ac:dyDescent="0.3">
      <c r="A79" s="1182"/>
      <c r="B79" s="1182"/>
      <c r="C79" s="1182"/>
      <c r="D79" s="1182"/>
      <c r="E79" s="1182"/>
      <c r="F79" s="1182"/>
      <c r="G79" s="1182"/>
      <c r="H79" s="1182"/>
      <c r="I79" s="1182"/>
      <c r="J79" s="1182"/>
      <c r="K79" s="1182"/>
      <c r="L79" s="1182"/>
      <c r="M79" s="1182"/>
      <c r="N79" s="1182"/>
      <c r="O79" s="88"/>
      <c r="P79" s="89"/>
      <c r="Q79" s="53"/>
      <c r="R79" s="53"/>
      <c r="S79" s="53"/>
    </row>
    <row r="80" spans="1:19" s="3" customFormat="1" ht="42" customHeight="1" thickBot="1" x14ac:dyDescent="0.25">
      <c r="A80" s="1533" t="s">
        <v>460</v>
      </c>
      <c r="B80" s="1585"/>
      <c r="C80" s="1585"/>
      <c r="D80" s="1585"/>
      <c r="E80" s="1587"/>
      <c r="F80" s="1587"/>
      <c r="G80" s="1588"/>
      <c r="H80" s="353" t="s">
        <v>121</v>
      </c>
      <c r="I80" s="1182"/>
      <c r="J80" s="1187"/>
      <c r="K80" s="1187"/>
      <c r="L80" s="1701" t="s">
        <v>461</v>
      </c>
      <c r="M80" s="1702"/>
      <c r="N80" s="1703"/>
      <c r="O80" s="88"/>
      <c r="P80" s="89"/>
      <c r="Q80" s="53"/>
      <c r="R80" s="53"/>
      <c r="S80" s="53"/>
    </row>
    <row r="81" spans="1:19" s="3" customFormat="1" ht="42" customHeight="1" thickBot="1" x14ac:dyDescent="0.3">
      <c r="A81" s="956"/>
      <c r="B81" s="960">
        <v>1</v>
      </c>
      <c r="C81" s="960">
        <v>2</v>
      </c>
      <c r="D81" s="961">
        <v>3</v>
      </c>
      <c r="E81" s="1771" t="s">
        <v>454</v>
      </c>
      <c r="F81" s="1772"/>
      <c r="G81" s="1773"/>
      <c r="H81" s="410"/>
      <c r="I81" s="1182"/>
      <c r="J81" s="1187"/>
      <c r="K81" s="1187"/>
      <c r="L81" s="962" t="s">
        <v>462</v>
      </c>
      <c r="M81" s="963" t="s">
        <v>463</v>
      </c>
      <c r="N81" s="964" t="s">
        <v>464</v>
      </c>
      <c r="O81" s="88"/>
      <c r="P81" s="89"/>
      <c r="Q81" s="53"/>
      <c r="R81" s="53"/>
      <c r="S81" s="53"/>
    </row>
    <row r="82" spans="1:19" s="3" customFormat="1" ht="42" customHeight="1" thickBot="1" x14ac:dyDescent="0.25">
      <c r="A82" s="957" t="s">
        <v>455</v>
      </c>
      <c r="B82" s="347"/>
      <c r="C82" s="347"/>
      <c r="D82" s="348"/>
      <c r="E82" s="1774"/>
      <c r="F82" s="1775"/>
      <c r="G82" s="1776"/>
      <c r="H82" s="52"/>
      <c r="I82" s="50"/>
      <c r="J82" s="1187"/>
      <c r="K82" s="1187"/>
      <c r="L82" s="1188" t="e">
        <f>B98</f>
        <v>#N/A</v>
      </c>
      <c r="M82" s="1189" t="e">
        <f>C98</f>
        <v>#N/A</v>
      </c>
      <c r="N82" s="1190" t="e">
        <f>D98</f>
        <v>#N/A</v>
      </c>
      <c r="O82" s="88"/>
      <c r="P82" s="89"/>
      <c r="Q82" s="53"/>
      <c r="R82" s="53"/>
      <c r="S82" s="53"/>
    </row>
    <row r="83" spans="1:19" s="3" customFormat="1" ht="42" customHeight="1" x14ac:dyDescent="0.25">
      <c r="A83" s="958" t="s">
        <v>456</v>
      </c>
      <c r="B83" s="83"/>
      <c r="C83" s="83"/>
      <c r="D83" s="83"/>
      <c r="E83" s="1777"/>
      <c r="F83" s="1778"/>
      <c r="G83" s="1779"/>
      <c r="H83" s="52"/>
      <c r="I83" s="50"/>
      <c r="J83" s="965" t="s">
        <v>462</v>
      </c>
      <c r="K83" s="1191" t="e">
        <f>+L82</f>
        <v>#N/A</v>
      </c>
      <c r="L83" s="1192" t="e">
        <f>ABS(K83-L82)</f>
        <v>#N/A</v>
      </c>
      <c r="M83" s="1192" t="e">
        <f>+ABS(M82-K83)</f>
        <v>#N/A</v>
      </c>
      <c r="N83" s="1193" t="e">
        <f>+ABS(N82-K83)</f>
        <v>#N/A</v>
      </c>
      <c r="O83" s="88"/>
      <c r="P83" s="89"/>
      <c r="Q83" s="53"/>
      <c r="R83" s="53"/>
      <c r="S83" s="53"/>
    </row>
    <row r="84" spans="1:19" s="3" customFormat="1" ht="42" customHeight="1" thickBot="1" x14ac:dyDescent="0.3">
      <c r="A84" s="959" t="s">
        <v>503</v>
      </c>
      <c r="B84" s="242"/>
      <c r="C84" s="242"/>
      <c r="D84" s="243"/>
      <c r="E84" s="1780"/>
      <c r="F84" s="1781"/>
      <c r="G84" s="1782"/>
      <c r="H84" s="52"/>
      <c r="I84" s="50"/>
      <c r="J84" s="966" t="s">
        <v>463</v>
      </c>
      <c r="K84" s="1194" t="e">
        <f>+M82</f>
        <v>#N/A</v>
      </c>
      <c r="L84" s="1195"/>
      <c r="M84" s="1196" t="e">
        <f>+ABS(K84-M82)</f>
        <v>#N/A</v>
      </c>
      <c r="N84" s="1197" t="e">
        <f>+ABS(K84-N82)</f>
        <v>#N/A</v>
      </c>
      <c r="O84" s="88"/>
      <c r="P84" s="89"/>
      <c r="Q84" s="53"/>
      <c r="R84" s="53"/>
      <c r="S84" s="53"/>
    </row>
    <row r="85" spans="1:19" s="3" customFormat="1" ht="42" customHeight="1" thickBot="1" x14ac:dyDescent="0.3">
      <c r="A85" s="316"/>
      <c r="B85" s="412"/>
      <c r="C85" s="412"/>
      <c r="D85" s="412"/>
      <c r="E85" s="244"/>
      <c r="F85" s="244"/>
      <c r="G85" s="245" t="s">
        <v>422</v>
      </c>
      <c r="H85" s="1066"/>
      <c r="I85" s="1182"/>
      <c r="J85" s="967" t="s">
        <v>464</v>
      </c>
      <c r="K85" s="1198" t="e">
        <f>+N82</f>
        <v>#N/A</v>
      </c>
      <c r="L85" s="1199"/>
      <c r="M85" s="1199"/>
      <c r="N85" s="1200" t="e">
        <f>+ABS(K85-N82)</f>
        <v>#N/A</v>
      </c>
      <c r="O85" s="88"/>
      <c r="P85" s="89"/>
      <c r="Q85" s="53"/>
      <c r="R85" s="53"/>
      <c r="S85" s="53"/>
    </row>
    <row r="86" spans="1:19" s="3" customFormat="1" ht="42" customHeight="1" x14ac:dyDescent="0.25">
      <c r="A86" s="317"/>
      <c r="B86" s="311" t="e">
        <f>B85+((VLOOKUP($H$85,'DATOS ¬'!$A$177:$N$199,13,FALSE))*B85+(VLOOKUP($H$85,'DATOS ¬'!$A$177:$N$199,14,FALSE)))</f>
        <v>#N/A</v>
      </c>
      <c r="C86" s="94" t="e">
        <f>C85+((VLOOKUP($H$85,'DATOS ¬'!$A$177:$N$199,13,FALSE))*C85+(VLOOKUP($H$85,'DATOS ¬'!$A$177:$N$199,14,FALSE)))</f>
        <v>#N/A</v>
      </c>
      <c r="D86" s="94" t="e">
        <f>D85+((VLOOKUP($H$85,'DATOS ¬'!$A$177:$N$199,13,FALSE))*D85+(VLOOKUP($H$85,'DATOS ¬'!$A$177:$N$199,14,FALSE)))</f>
        <v>#N/A</v>
      </c>
      <c r="E86" s="94"/>
      <c r="F86" s="94"/>
      <c r="G86" s="95" t="s">
        <v>422</v>
      </c>
      <c r="H86" s="53"/>
      <c r="I86" s="1182"/>
      <c r="J86" s="1182"/>
      <c r="K86" s="1182"/>
      <c r="L86" s="50"/>
      <c r="M86" s="50"/>
      <c r="N86" s="87"/>
      <c r="O86" s="88"/>
      <c r="P86" s="89"/>
      <c r="Q86" s="53"/>
      <c r="R86" s="53"/>
      <c r="S86" s="53"/>
    </row>
    <row r="87" spans="1:19" s="3" customFormat="1" ht="42" customHeight="1" x14ac:dyDescent="0.25">
      <c r="A87" s="317"/>
      <c r="B87" s="349"/>
      <c r="C87" s="350"/>
      <c r="D87" s="350"/>
      <c r="E87" s="94"/>
      <c r="F87" s="94"/>
      <c r="G87" s="95" t="s">
        <v>422</v>
      </c>
      <c r="H87" s="53"/>
      <c r="I87" s="1182"/>
      <c r="J87" s="1182"/>
      <c r="K87" s="1182"/>
      <c r="L87" s="50"/>
      <c r="M87" s="50"/>
      <c r="N87" s="87"/>
      <c r="O87" s="88"/>
      <c r="P87" s="89"/>
      <c r="Q87" s="53"/>
      <c r="R87" s="53"/>
      <c r="S87" s="53"/>
    </row>
    <row r="88" spans="1:19" s="3" customFormat="1" ht="42" customHeight="1" x14ac:dyDescent="0.25">
      <c r="A88" s="317"/>
      <c r="B88" s="312" t="str">
        <f>IFERROR(B87+((VLOOKUP($H$90,'DATOS ¬'!$A$37:$N$62,13,FALSE))*B87+(VLOOKUP($H$90,'DATOS ¬'!$A$37:$N$62,14,FALSE))),"error")</f>
        <v>error</v>
      </c>
      <c r="C88" s="96" t="str">
        <f>IFERROR(C87+((VLOOKUP($H$90,'DATOS ¬'!$A$37:$N$62,13,FALSE))*C87+(VLOOKUP($H$90,'DATOS ¬'!$A$37:$N$62,14,FALSE))),"error")</f>
        <v>error</v>
      </c>
      <c r="D88" s="96" t="str">
        <f>IFERROR(D87+((VLOOKUP($H$90,'DATOS ¬'!$A$37:$N$62,13,FALSE))*D87+(VLOOKUP($H$90,'DATOS ¬'!$A$37:$N$62,14,FALSE))),"error")</f>
        <v>error</v>
      </c>
      <c r="E88" s="94"/>
      <c r="F88" s="94"/>
      <c r="G88" s="95" t="s">
        <v>422</v>
      </c>
      <c r="H88" s="53"/>
      <c r="I88" s="1182"/>
      <c r="J88" s="1182"/>
      <c r="K88" s="1182"/>
      <c r="L88" s="53"/>
      <c r="M88" s="53"/>
      <c r="N88" s="53"/>
      <c r="O88" s="53"/>
      <c r="P88" s="53"/>
      <c r="Q88" s="53"/>
      <c r="R88" s="53"/>
      <c r="S88" s="53"/>
    </row>
    <row r="89" spans="1:19" s="4" customFormat="1" ht="42" customHeight="1" thickBot="1" x14ac:dyDescent="0.3">
      <c r="A89" s="317" t="s">
        <v>465</v>
      </c>
      <c r="B89" s="351"/>
      <c r="C89" s="352"/>
      <c r="D89" s="352"/>
      <c r="E89" s="94"/>
      <c r="F89" s="94"/>
      <c r="G89" s="95" t="s">
        <v>35</v>
      </c>
      <c r="H89" s="53"/>
      <c r="I89" s="79"/>
      <c r="J89" s="79"/>
      <c r="K89" s="79"/>
      <c r="L89" s="79"/>
      <c r="M89" s="79"/>
      <c r="N89" s="79"/>
      <c r="O89" s="53"/>
      <c r="P89" s="53"/>
      <c r="Q89" s="52"/>
      <c r="R89" s="52"/>
      <c r="S89" s="52"/>
    </row>
    <row r="90" spans="1:19" s="4" customFormat="1" ht="42" customHeight="1" thickBot="1" x14ac:dyDescent="0.3">
      <c r="A90" s="317" t="s">
        <v>466</v>
      </c>
      <c r="B90" s="351"/>
      <c r="C90" s="352"/>
      <c r="D90" s="352"/>
      <c r="E90" s="96"/>
      <c r="F90" s="96"/>
      <c r="G90" s="95" t="s">
        <v>35</v>
      </c>
      <c r="H90" s="410"/>
      <c r="I90" s="79"/>
      <c r="J90" s="1201"/>
      <c r="K90" s="308" t="e">
        <f>IF(AND('PC ¬'!H5&gt;=97.5%,'PC ¬'!I5&lt;=2.5%),"NO AJUSTAR","AJUSTAR")</f>
        <v>#N/A</v>
      </c>
      <c r="L90" s="79"/>
      <c r="M90" s="79"/>
      <c r="N90" s="79"/>
      <c r="O90" s="53"/>
      <c r="P90" s="53"/>
      <c r="Q90" s="52"/>
      <c r="R90" s="52"/>
      <c r="S90" s="52"/>
    </row>
    <row r="91" spans="1:19" s="3" customFormat="1" ht="42" customHeight="1" x14ac:dyDescent="0.25">
      <c r="A91" s="317"/>
      <c r="B91" s="411"/>
      <c r="C91" s="411"/>
      <c r="D91" s="411"/>
      <c r="E91" s="97"/>
      <c r="F91" s="97"/>
      <c r="G91" s="95" t="s">
        <v>35</v>
      </c>
      <c r="H91" s="53"/>
      <c r="I91" s="70"/>
      <c r="J91" s="70"/>
      <c r="K91" s="70"/>
      <c r="L91" s="70"/>
      <c r="M91" s="70"/>
      <c r="N91" s="70"/>
      <c r="O91" s="101"/>
      <c r="P91" s="53"/>
      <c r="Q91" s="53"/>
      <c r="R91" s="53"/>
      <c r="S91" s="53"/>
    </row>
    <row r="92" spans="1:19" s="3" customFormat="1" ht="42" customHeight="1" x14ac:dyDescent="0.35">
      <c r="A92" s="318"/>
      <c r="B92" s="311" t="e">
        <f>B91+((VLOOKUP($H$85,'DATOS ¬'!$A$177:$N$199,13,FALSE))*B91+(VLOOKUP($H$85,'DATOS ¬'!$A$177:$N$199,14,FALSE)))</f>
        <v>#N/A</v>
      </c>
      <c r="C92" s="94" t="e">
        <f>C91+((VLOOKUP($H$85,'DATOS ¬'!$A$177:$N$199,13,FALSE))*C91+(VLOOKUP($H$85,'DATOS ¬'!$A$177:$N$199,14,FALSE)))</f>
        <v>#N/A</v>
      </c>
      <c r="D92" s="94" t="e">
        <f>D91+((VLOOKUP($H$85,'DATOS ¬'!$A$177:$N$199,13,FALSE))*D91+(VLOOKUP($H$85,'DATOS ¬'!$A$177:$N$199,14,FALSE)))</f>
        <v>#N/A</v>
      </c>
      <c r="E92" s="96"/>
      <c r="F92" s="96"/>
      <c r="G92" s="95" t="s">
        <v>430</v>
      </c>
      <c r="H92" s="53"/>
      <c r="I92" s="103"/>
      <c r="J92" s="104"/>
      <c r="K92" s="105"/>
      <c r="L92" s="106"/>
      <c r="M92" s="71"/>
      <c r="N92" s="106"/>
      <c r="O92" s="1182"/>
      <c r="P92" s="53"/>
      <c r="Q92" s="53"/>
      <c r="R92" s="53"/>
      <c r="S92" s="53"/>
    </row>
    <row r="93" spans="1:19" s="3" customFormat="1" ht="30" customHeight="1" x14ac:dyDescent="0.35">
      <c r="A93" s="318"/>
      <c r="B93" s="313" t="e">
        <f>C44</f>
        <v>#N/A</v>
      </c>
      <c r="C93" s="97" t="e">
        <f>B93</f>
        <v>#N/A</v>
      </c>
      <c r="D93" s="97" t="e">
        <f>B93</f>
        <v>#N/A</v>
      </c>
      <c r="E93" s="97"/>
      <c r="F93" s="97"/>
      <c r="G93" s="95" t="s">
        <v>430</v>
      </c>
      <c r="H93" s="53"/>
      <c r="I93" s="103"/>
      <c r="J93" s="104"/>
      <c r="K93" s="105"/>
      <c r="L93" s="106"/>
      <c r="M93" s="71"/>
      <c r="N93" s="106"/>
      <c r="O93" s="53"/>
      <c r="P93" s="53"/>
      <c r="Q93" s="53"/>
      <c r="R93" s="53"/>
      <c r="S93" s="53"/>
    </row>
    <row r="94" spans="1:19" s="3" customFormat="1" ht="30" customHeight="1" x14ac:dyDescent="0.35">
      <c r="A94" s="317"/>
      <c r="B94" s="314" t="e">
        <f>(B86-B92)</f>
        <v>#N/A</v>
      </c>
      <c r="C94" s="98" t="e">
        <f>(C86-C92)</f>
        <v>#N/A</v>
      </c>
      <c r="D94" s="98" t="e">
        <f>(D86-D92)</f>
        <v>#N/A</v>
      </c>
      <c r="E94" s="98"/>
      <c r="F94" s="98"/>
      <c r="G94" s="99" t="s">
        <v>422</v>
      </c>
      <c r="H94" s="52"/>
      <c r="I94" s="103"/>
      <c r="J94" s="104"/>
      <c r="K94" s="105"/>
      <c r="L94" s="106"/>
      <c r="M94" s="71"/>
      <c r="N94" s="106"/>
      <c r="O94" s="53"/>
      <c r="P94" s="53"/>
      <c r="Q94" s="53"/>
      <c r="R94" s="53"/>
      <c r="S94" s="53"/>
    </row>
    <row r="95" spans="1:19" s="3" customFormat="1" ht="33.75" customHeight="1" x14ac:dyDescent="0.25">
      <c r="A95" s="317"/>
      <c r="B95" s="315" t="e">
        <f>1/(B77-B73)</f>
        <v>#VALUE!</v>
      </c>
      <c r="C95" s="100" t="e">
        <f>1/(C77-C73)</f>
        <v>#VALUE!</v>
      </c>
      <c r="D95" s="100" t="e">
        <f>1/(D77-D73)</f>
        <v>#VALUE!</v>
      </c>
      <c r="E95" s="100"/>
      <c r="F95" s="100"/>
      <c r="G95" s="99" t="s">
        <v>467</v>
      </c>
      <c r="H95" s="79"/>
      <c r="I95" s="79"/>
      <c r="J95" s="79"/>
      <c r="K95" s="79"/>
      <c r="L95" s="79"/>
      <c r="M95" s="79"/>
      <c r="N95" s="110"/>
      <c r="O95" s="53"/>
      <c r="P95" s="53"/>
      <c r="Q95" s="53"/>
      <c r="R95" s="53"/>
      <c r="S95" s="53"/>
    </row>
    <row r="96" spans="1:19" s="3" customFormat="1" ht="45" customHeight="1" x14ac:dyDescent="0.25">
      <c r="A96" s="317"/>
      <c r="B96" s="315" t="e">
        <f>1-(B73/$C$7)</f>
        <v>#N/A</v>
      </c>
      <c r="C96" s="100" t="e">
        <f>1-(C73/$C$7)</f>
        <v>#N/A</v>
      </c>
      <c r="D96" s="100" t="e">
        <f>1-(D73/$C$7)</f>
        <v>#N/A</v>
      </c>
      <c r="E96" s="100"/>
      <c r="F96" s="100"/>
      <c r="G96" s="99" t="s">
        <v>467</v>
      </c>
      <c r="H96" s="53"/>
      <c r="I96" s="53"/>
      <c r="J96" s="53"/>
      <c r="K96" s="53"/>
      <c r="L96" s="53"/>
      <c r="M96" s="53"/>
      <c r="N96" s="53"/>
      <c r="O96" s="52"/>
      <c r="P96" s="53"/>
      <c r="Q96" s="53"/>
      <c r="R96" s="53"/>
      <c r="S96" s="53"/>
    </row>
    <row r="97" spans="1:22" s="3" customFormat="1" ht="45" customHeight="1" x14ac:dyDescent="0.25">
      <c r="A97" s="317"/>
      <c r="B97" s="315" t="e">
        <f>1-$C$48*(B88-B93)</f>
        <v>#N/A</v>
      </c>
      <c r="C97" s="100" t="e">
        <f>1-$C$48*(C88-C93)</f>
        <v>#N/A</v>
      </c>
      <c r="D97" s="100" t="e">
        <f>1-$C$48*(D88-D93)</f>
        <v>#N/A</v>
      </c>
      <c r="E97" s="100"/>
      <c r="F97" s="100"/>
      <c r="G97" s="248"/>
      <c r="H97" s="53"/>
      <c r="I97" s="53"/>
      <c r="J97" s="53"/>
      <c r="K97" s="53"/>
      <c r="L97" s="53"/>
      <c r="M97" s="53"/>
      <c r="N97" s="53"/>
      <c r="O97" s="53"/>
      <c r="P97" s="53"/>
      <c r="Q97" s="53"/>
      <c r="R97" s="53"/>
      <c r="S97" s="53"/>
      <c r="T97" s="1182"/>
      <c r="U97" s="1182"/>
      <c r="V97" s="1182"/>
    </row>
    <row r="98" spans="1:22" s="3" customFormat="1" ht="30" customHeight="1" thickBot="1" x14ac:dyDescent="0.3">
      <c r="A98" s="319"/>
      <c r="B98" s="418" t="e">
        <f>B94*B95*B96*B97</f>
        <v>#N/A</v>
      </c>
      <c r="C98" s="419" t="e">
        <f>C94*C95*C96*C97</f>
        <v>#N/A</v>
      </c>
      <c r="D98" s="419" t="e">
        <f>D94*D95*D96*D97</f>
        <v>#N/A</v>
      </c>
      <c r="E98" s="102"/>
      <c r="F98" s="102"/>
      <c r="G98" s="809" t="e">
        <f>AVERAGE(B98:D98)</f>
        <v>#N/A</v>
      </c>
      <c r="H98" s="53" t="s">
        <v>203</v>
      </c>
      <c r="I98" s="274"/>
      <c r="J98" s="273"/>
      <c r="K98" s="52"/>
      <c r="L98" s="52"/>
      <c r="M98" s="52"/>
      <c r="N98" s="52"/>
      <c r="O98" s="52"/>
      <c r="P98" s="52"/>
      <c r="Q98" s="52"/>
      <c r="R98" s="52"/>
      <c r="S98" s="53"/>
      <c r="T98" s="1182"/>
      <c r="U98" s="1182"/>
      <c r="V98" s="1182"/>
    </row>
    <row r="99" spans="1:22" s="3" customFormat="1" ht="30" customHeight="1" thickBot="1" x14ac:dyDescent="0.3">
      <c r="A99" s="53"/>
      <c r="B99" s="70"/>
      <c r="C99" s="107"/>
      <c r="D99" s="75"/>
      <c r="E99" s="108"/>
      <c r="F99" s="108"/>
      <c r="G99" s="109" t="e">
        <f>G98/1000</f>
        <v>#N/A</v>
      </c>
      <c r="H99" s="53" t="s">
        <v>36</v>
      </c>
      <c r="I99" s="53"/>
      <c r="J99" s="53"/>
      <c r="K99" s="53"/>
      <c r="L99" s="53"/>
      <c r="M99" s="53"/>
      <c r="N99" s="52"/>
      <c r="O99" s="52"/>
      <c r="P99" s="52"/>
      <c r="Q99" s="52"/>
      <c r="R99" s="52"/>
      <c r="S99" s="53"/>
      <c r="T99" s="1182"/>
      <c r="U99" s="1182"/>
      <c r="V99" s="1182"/>
    </row>
    <row r="100" spans="1:22" s="4" customFormat="1" ht="25.5" customHeight="1" thickBot="1" x14ac:dyDescent="0.3">
      <c r="A100" s="235" t="s">
        <v>468</v>
      </c>
      <c r="B100" s="236"/>
      <c r="C100" s="309"/>
      <c r="D100" s="75"/>
      <c r="E100" s="108"/>
      <c r="F100" s="108"/>
      <c r="G100" s="109" t="e">
        <f>G99/3.785412</f>
        <v>#N/A</v>
      </c>
      <c r="H100" s="53" t="s">
        <v>469</v>
      </c>
      <c r="I100" s="52"/>
      <c r="J100" s="52"/>
      <c r="K100" s="52"/>
      <c r="L100" s="52"/>
      <c r="M100" s="52"/>
      <c r="N100" s="52"/>
      <c r="O100" s="52"/>
      <c r="P100" s="52"/>
      <c r="Q100" s="52"/>
      <c r="R100" s="52"/>
      <c r="S100" s="52"/>
      <c r="T100" s="1201"/>
      <c r="U100" s="1201"/>
      <c r="V100" s="1201"/>
    </row>
    <row r="101" spans="1:22" s="3" customFormat="1" ht="30" customHeight="1" thickBot="1" x14ac:dyDescent="0.3">
      <c r="A101" s="53"/>
      <c r="B101" s="53"/>
      <c r="C101" s="53"/>
      <c r="D101" s="53"/>
      <c r="E101" s="1783"/>
      <c r="F101" s="1783"/>
      <c r="G101" s="1783"/>
      <c r="H101" s="1783"/>
      <c r="I101" s="1783"/>
      <c r="J101" s="1783"/>
      <c r="K101" s="1783"/>
      <c r="L101" s="1783"/>
      <c r="M101" s="1182"/>
      <c r="N101" s="52"/>
      <c r="O101" s="52"/>
      <c r="P101" s="52"/>
      <c r="Q101" s="52"/>
      <c r="R101" s="53"/>
      <c r="S101" s="53"/>
      <c r="T101" s="1182"/>
      <c r="U101" s="1182"/>
      <c r="V101" s="1182"/>
    </row>
    <row r="102" spans="1:22" s="3" customFormat="1" ht="30" customHeight="1" thickBot="1" x14ac:dyDescent="0.3">
      <c r="A102" s="1693" t="s">
        <v>454</v>
      </c>
      <c r="B102" s="1693"/>
      <c r="C102" s="1693"/>
      <c r="D102" s="1693"/>
      <c r="E102" s="1693"/>
      <c r="F102" s="1693"/>
      <c r="G102" s="1693"/>
      <c r="H102" s="1693"/>
      <c r="I102" s="1692"/>
      <c r="J102" s="50"/>
      <c r="K102" s="50"/>
      <c r="L102" s="50"/>
      <c r="M102" s="52"/>
      <c r="N102" s="53"/>
      <c r="O102" s="53"/>
      <c r="P102" s="53"/>
      <c r="Q102" s="53"/>
      <c r="R102" s="53"/>
      <c r="S102" s="53"/>
      <c r="T102" s="1182"/>
      <c r="U102" s="1182"/>
      <c r="V102" s="1182"/>
    </row>
    <row r="103" spans="1:22" s="3" customFormat="1" ht="30" customHeight="1" x14ac:dyDescent="0.25">
      <c r="A103" s="111"/>
      <c r="B103" s="111"/>
      <c r="C103" s="111"/>
      <c r="D103" s="111"/>
      <c r="E103" s="111"/>
      <c r="F103" s="111"/>
      <c r="G103" s="111"/>
      <c r="H103" s="111"/>
      <c r="I103" s="112"/>
      <c r="J103" s="70"/>
      <c r="K103" s="113"/>
      <c r="L103" s="50"/>
      <c r="M103" s="52"/>
      <c r="N103" s="53"/>
      <c r="O103" s="53"/>
      <c r="P103" s="53"/>
      <c r="Q103" s="53"/>
      <c r="R103" s="53"/>
      <c r="S103" s="53"/>
      <c r="T103" s="1182"/>
      <c r="U103" s="1181"/>
      <c r="V103" s="1184"/>
    </row>
    <row r="104" spans="1:22" s="3" customFormat="1" ht="30" customHeight="1" x14ac:dyDescent="0.25">
      <c r="A104" s="111"/>
      <c r="B104" s="111"/>
      <c r="C104" s="111"/>
      <c r="D104" s="111"/>
      <c r="E104" s="111"/>
      <c r="F104" s="111"/>
      <c r="G104" s="111"/>
      <c r="H104" s="111"/>
      <c r="I104" s="112"/>
      <c r="J104" s="70"/>
      <c r="K104" s="113"/>
      <c r="L104" s="50"/>
      <c r="M104" s="53"/>
      <c r="N104" s="53"/>
      <c r="O104" s="53"/>
      <c r="P104" s="53"/>
      <c r="Q104" s="53"/>
      <c r="R104" s="53"/>
      <c r="S104" s="53"/>
      <c r="T104" s="1182"/>
      <c r="U104" s="1184"/>
      <c r="V104" s="1182"/>
    </row>
    <row r="105" spans="1:22" s="3" customFormat="1" ht="30" customHeight="1" thickBot="1" x14ac:dyDescent="0.3">
      <c r="A105" s="114"/>
      <c r="B105" s="115"/>
      <c r="C105" s="115"/>
      <c r="D105" s="115"/>
      <c r="E105" s="115"/>
      <c r="F105" s="115"/>
      <c r="G105" s="115"/>
      <c r="H105" s="115"/>
      <c r="I105" s="116"/>
      <c r="J105" s="70"/>
      <c r="K105" s="113"/>
      <c r="L105" s="50"/>
      <c r="M105" s="53"/>
      <c r="N105" s="53"/>
      <c r="O105" s="53"/>
      <c r="P105" s="53"/>
      <c r="Q105" s="53"/>
      <c r="R105" s="53"/>
      <c r="S105" s="53"/>
      <c r="T105" s="1182"/>
      <c r="U105" s="1182"/>
      <c r="V105" s="1182"/>
    </row>
    <row r="106" spans="1:22" s="3" customFormat="1" ht="30" customHeight="1" x14ac:dyDescent="0.25">
      <c r="A106" s="53"/>
      <c r="B106" s="53"/>
      <c r="C106" s="53"/>
      <c r="D106" s="53"/>
      <c r="E106" s="79"/>
      <c r="F106" s="79"/>
      <c r="G106" s="79"/>
      <c r="H106" s="73"/>
      <c r="I106" s="53"/>
      <c r="J106" s="70"/>
      <c r="K106" s="113"/>
      <c r="L106" s="50"/>
      <c r="M106" s="53"/>
      <c r="N106" s="53"/>
      <c r="O106" s="53"/>
      <c r="P106" s="53"/>
      <c r="Q106" s="53"/>
      <c r="R106" s="53"/>
      <c r="S106" s="53"/>
      <c r="T106" s="1184"/>
      <c r="U106" s="1182"/>
      <c r="V106" s="1182"/>
    </row>
    <row r="107" spans="1:22" s="3" customFormat="1" ht="30" customHeight="1" thickBot="1" x14ac:dyDescent="0.3">
      <c r="A107" s="53"/>
      <c r="B107" s="53"/>
      <c r="C107" s="53"/>
      <c r="D107" s="53"/>
      <c r="E107" s="1783"/>
      <c r="F107" s="1783"/>
      <c r="G107" s="1783"/>
      <c r="H107" s="73"/>
      <c r="I107" s="53"/>
      <c r="J107" s="53"/>
      <c r="K107" s="53"/>
      <c r="L107" s="53"/>
      <c r="M107" s="53"/>
      <c r="N107" s="53"/>
      <c r="O107" s="53"/>
      <c r="P107" s="53"/>
      <c r="Q107" s="53"/>
      <c r="R107" s="53"/>
      <c r="S107" s="53"/>
      <c r="T107" s="1182"/>
      <c r="U107" s="1182"/>
      <c r="V107" s="1182"/>
    </row>
    <row r="108" spans="1:22" s="3" customFormat="1" ht="30" customHeight="1" x14ac:dyDescent="0.25">
      <c r="A108" s="1765" t="s">
        <v>470</v>
      </c>
      <c r="B108" s="1766"/>
      <c r="C108" s="1766"/>
      <c r="D108" s="1766"/>
      <c r="E108" s="1766"/>
      <c r="F108" s="1766"/>
      <c r="G108" s="1766"/>
      <c r="H108" s="1766"/>
      <c r="I108" s="1766"/>
      <c r="J108" s="1766"/>
      <c r="K108" s="1766"/>
      <c r="L108" s="1766"/>
      <c r="M108" s="1766"/>
      <c r="N108" s="1766"/>
      <c r="O108" s="1766"/>
      <c r="P108" s="1767"/>
      <c r="Q108" s="52"/>
      <c r="R108" s="52"/>
      <c r="S108" s="53"/>
      <c r="T108" s="1182"/>
      <c r="U108" s="1182"/>
      <c r="V108" s="1182"/>
    </row>
    <row r="109" spans="1:22" s="3" customFormat="1" ht="30" customHeight="1" thickBot="1" x14ac:dyDescent="0.3">
      <c r="A109" s="1768"/>
      <c r="B109" s="1769"/>
      <c r="C109" s="1769"/>
      <c r="D109" s="1769"/>
      <c r="E109" s="1769"/>
      <c r="F109" s="1769"/>
      <c r="G109" s="1769"/>
      <c r="H109" s="1769"/>
      <c r="I109" s="1769"/>
      <c r="J109" s="1769"/>
      <c r="K109" s="1769"/>
      <c r="L109" s="1769"/>
      <c r="M109" s="1769"/>
      <c r="N109" s="1769"/>
      <c r="O109" s="1769"/>
      <c r="P109" s="1770"/>
      <c r="Q109" s="52"/>
      <c r="R109" s="52"/>
      <c r="S109" s="53"/>
      <c r="T109" s="1182"/>
      <c r="U109" s="1182"/>
      <c r="V109" s="1182"/>
    </row>
    <row r="110" spans="1:22" s="4" customFormat="1" ht="51" customHeight="1" thickBot="1" x14ac:dyDescent="0.3">
      <c r="A110" s="954" t="s">
        <v>471</v>
      </c>
      <c r="B110" s="854" t="s">
        <v>472</v>
      </c>
      <c r="C110" s="955" t="s">
        <v>473</v>
      </c>
      <c r="D110" s="1701" t="s">
        <v>474</v>
      </c>
      <c r="E110" s="1703"/>
      <c r="F110" s="955" t="s">
        <v>475</v>
      </c>
      <c r="G110" s="853" t="s">
        <v>476</v>
      </c>
      <c r="H110" s="1701" t="s">
        <v>477</v>
      </c>
      <c r="I110" s="1703"/>
      <c r="J110" s="1701" t="s">
        <v>478</v>
      </c>
      <c r="K110" s="1703"/>
      <c r="L110" s="1701" t="s">
        <v>479</v>
      </c>
      <c r="M110" s="1703"/>
      <c r="N110" s="955" t="s">
        <v>480</v>
      </c>
      <c r="O110" s="854" t="s">
        <v>481</v>
      </c>
      <c r="P110" s="954" t="s">
        <v>482</v>
      </c>
      <c r="Q110" s="52"/>
      <c r="R110" s="52"/>
      <c r="S110" s="52"/>
      <c r="T110" s="1201"/>
      <c r="U110" s="1201"/>
      <c r="V110" s="1201"/>
    </row>
    <row r="111" spans="1:22" s="3" customFormat="1" ht="33" customHeight="1" x14ac:dyDescent="0.2">
      <c r="A111" s="903" t="s">
        <v>483</v>
      </c>
      <c r="B111" s="118"/>
      <c r="C111" s="119"/>
      <c r="D111" s="119"/>
      <c r="E111" s="119"/>
      <c r="F111" s="119"/>
      <c r="G111" s="119"/>
      <c r="H111" s="119"/>
      <c r="I111" s="119"/>
      <c r="J111" s="119"/>
      <c r="K111" s="119"/>
      <c r="L111" s="120"/>
      <c r="M111" s="119"/>
      <c r="N111" s="119"/>
      <c r="O111" s="121"/>
      <c r="P111" s="122" t="e">
        <f>SUM(P112:P124)</f>
        <v>#N/A</v>
      </c>
      <c r="Q111" s="52"/>
      <c r="R111" s="52"/>
      <c r="S111" s="53"/>
      <c r="T111" s="1182"/>
      <c r="U111" s="1182"/>
      <c r="V111" s="1182"/>
    </row>
    <row r="112" spans="1:22" s="3" customFormat="1" ht="33" customHeight="1" x14ac:dyDescent="0.25">
      <c r="A112" s="870" t="s">
        <v>484</v>
      </c>
      <c r="B112" s="871">
        <v>0</v>
      </c>
      <c r="C112" s="872" t="s">
        <v>485</v>
      </c>
      <c r="D112" s="873" t="e">
        <f>0.00024*B125</f>
        <v>#N/A</v>
      </c>
      <c r="E112" s="872">
        <v>1</v>
      </c>
      <c r="F112" s="872" t="s">
        <v>486</v>
      </c>
      <c r="G112" s="874">
        <v>1</v>
      </c>
      <c r="H112" s="875" t="e">
        <f>D112/G112</f>
        <v>#N/A</v>
      </c>
      <c r="I112" s="872" t="s">
        <v>487</v>
      </c>
      <c r="J112" s="872">
        <v>1</v>
      </c>
      <c r="K112" s="872" t="s">
        <v>487</v>
      </c>
      <c r="L112" s="876" t="e">
        <f>H112*J112</f>
        <v>#N/A</v>
      </c>
      <c r="M112" s="872" t="s">
        <v>487</v>
      </c>
      <c r="N112" s="877" t="e">
        <f>L112^2</f>
        <v>#N/A</v>
      </c>
      <c r="O112" s="878">
        <f>0.5*(100%-95%)^-2</f>
        <v>199.99999999999966</v>
      </c>
      <c r="P112" s="879" t="e">
        <f>(L112/$N$125)^2</f>
        <v>#N/A</v>
      </c>
      <c r="Q112" s="52"/>
      <c r="R112" s="52"/>
      <c r="S112" s="53"/>
      <c r="T112" s="1182"/>
      <c r="U112" s="1182"/>
      <c r="V112" s="1182"/>
    </row>
    <row r="113" spans="1:19" s="3" customFormat="1" ht="33" customHeight="1" x14ac:dyDescent="0.25">
      <c r="A113" s="123" t="s">
        <v>488</v>
      </c>
      <c r="B113" s="124" t="e">
        <f>AVERAGE(B67:D67)</f>
        <v>#N/A</v>
      </c>
      <c r="C113" s="125"/>
      <c r="D113" s="125"/>
      <c r="E113" s="125"/>
      <c r="F113" s="125"/>
      <c r="G113" s="125"/>
      <c r="H113" s="126"/>
      <c r="I113" s="125"/>
      <c r="J113" s="125"/>
      <c r="K113" s="125"/>
      <c r="L113" s="127"/>
      <c r="M113" s="125"/>
      <c r="N113" s="125"/>
      <c r="O113" s="128"/>
      <c r="P113" s="128"/>
      <c r="Q113" s="52"/>
      <c r="R113" s="52"/>
      <c r="S113" s="53"/>
    </row>
    <row r="114" spans="1:19" s="4" customFormat="1" ht="33" customHeight="1" x14ac:dyDescent="0.25">
      <c r="A114" s="870" t="s">
        <v>489</v>
      </c>
      <c r="B114" s="880">
        <v>0</v>
      </c>
      <c r="C114" s="872" t="s">
        <v>490</v>
      </c>
      <c r="D114" s="881" t="e">
        <f>VLOOKUP(B113,$C$23:$I$25,7,TRUE)</f>
        <v>#N/A</v>
      </c>
      <c r="E114" s="872" t="s">
        <v>35</v>
      </c>
      <c r="F114" s="872" t="s">
        <v>491</v>
      </c>
      <c r="G114" s="882" t="e">
        <f>O23</f>
        <v>#N/A</v>
      </c>
      <c r="H114" s="882" t="e">
        <f t="shared" ref="H114:H124" si="1">D114/G114</f>
        <v>#N/A</v>
      </c>
      <c r="I114" s="872" t="s">
        <v>35</v>
      </c>
      <c r="J114" s="883" t="e">
        <f>-((0.009 * B117) * (EXP(0.061 * B113) * 0.061)/(273.15 + B113) +
    (0.34848 * B121 - ((0.009 * B117) * EXP(0.061 * B113)))/(273.15 +
        B113)^2)</f>
        <v>#N/A</v>
      </c>
      <c r="K114" s="872" t="s">
        <v>492</v>
      </c>
      <c r="L114" s="876" t="e">
        <f>H114*J114</f>
        <v>#N/A</v>
      </c>
      <c r="M114" s="872" t="s">
        <v>487</v>
      </c>
      <c r="N114" s="877" t="e">
        <f>L114^2</f>
        <v>#N/A</v>
      </c>
      <c r="O114" s="878">
        <f>0.5*(100%-95.45%)^-2</f>
        <v>241.5167250332087</v>
      </c>
      <c r="P114" s="879" t="e">
        <f t="shared" ref="P114:P124" si="2">(L114/$N$125)^2</f>
        <v>#N/A</v>
      </c>
      <c r="Q114" s="52"/>
      <c r="R114" s="52"/>
      <c r="S114" s="52"/>
    </row>
    <row r="115" spans="1:19" s="3" customFormat="1" ht="33" customHeight="1" x14ac:dyDescent="0.25">
      <c r="A115" s="870" t="s">
        <v>493</v>
      </c>
      <c r="B115" s="880">
        <v>0</v>
      </c>
      <c r="C115" s="872" t="s">
        <v>494</v>
      </c>
      <c r="D115" s="881" t="e">
        <f>E23</f>
        <v>#N/A</v>
      </c>
      <c r="E115" s="872" t="s">
        <v>35</v>
      </c>
      <c r="F115" s="872" t="s">
        <v>495</v>
      </c>
      <c r="G115" s="882">
        <f>SQRT(12)</f>
        <v>3.4641016151377544</v>
      </c>
      <c r="H115" s="875" t="e">
        <f t="shared" si="1"/>
        <v>#N/A</v>
      </c>
      <c r="I115" s="872" t="s">
        <v>35</v>
      </c>
      <c r="J115" s="883" t="e">
        <f>-((0.009 * B117) * (EXP(0.061 * B113) * 0.061)/(273.15 + B113) +
    (0.34848 * B121 - ((0.009 * B117) * EXP(0.061 * B113)))/(273.15 +
        B113)^2)</f>
        <v>#N/A</v>
      </c>
      <c r="K115" s="872" t="s">
        <v>492</v>
      </c>
      <c r="L115" s="876" t="e">
        <f>H115*J115</f>
        <v>#N/A</v>
      </c>
      <c r="M115" s="872" t="s">
        <v>487</v>
      </c>
      <c r="N115" s="877" t="e">
        <f t="shared" ref="N115:N123" si="3">L115^2</f>
        <v>#N/A</v>
      </c>
      <c r="O115" s="884">
        <f>0.5*(100%-90%)^-2</f>
        <v>50.000000000000028</v>
      </c>
      <c r="P115" s="879" t="e">
        <f t="shared" si="2"/>
        <v>#N/A</v>
      </c>
      <c r="Q115" s="53"/>
      <c r="R115" s="52"/>
      <c r="S115" s="53"/>
    </row>
    <row r="116" spans="1:19" s="4" customFormat="1" ht="33" customHeight="1" x14ac:dyDescent="0.25">
      <c r="A116" s="870" t="s">
        <v>496</v>
      </c>
      <c r="B116" s="871">
        <v>0</v>
      </c>
      <c r="C116" s="872" t="s">
        <v>497</v>
      </c>
      <c r="D116" s="881">
        <v>0</v>
      </c>
      <c r="E116" s="872" t="s">
        <v>35</v>
      </c>
      <c r="F116" s="872" t="s">
        <v>495</v>
      </c>
      <c r="G116" s="882">
        <f>SQRT(12)</f>
        <v>3.4641016151377544</v>
      </c>
      <c r="H116" s="882">
        <f t="shared" si="1"/>
        <v>0</v>
      </c>
      <c r="I116" s="872" t="s">
        <v>35</v>
      </c>
      <c r="J116" s="883" t="e">
        <f>-((0.009 * B117) * (EXP(0.061 * B113) * 0.061)/(273.15 + B113) +
    (0.34848 * B121 - ((0.009 * B117) * EXP(0.061 * B113)))/(273.15 +
        B113)^2)</f>
        <v>#N/A</v>
      </c>
      <c r="K116" s="872" t="s">
        <v>492</v>
      </c>
      <c r="L116" s="876" t="e">
        <f>H116*J116</f>
        <v>#N/A</v>
      </c>
      <c r="M116" s="872" t="s">
        <v>487</v>
      </c>
      <c r="N116" s="877" t="e">
        <f>L116^2</f>
        <v>#N/A</v>
      </c>
      <c r="O116" s="884">
        <f>0.5*(100%-90%)^-2</f>
        <v>50.000000000000028</v>
      </c>
      <c r="P116" s="885" t="e">
        <f t="shared" si="2"/>
        <v>#N/A</v>
      </c>
      <c r="Q116" s="52"/>
      <c r="R116" s="52"/>
      <c r="S116" s="52"/>
    </row>
    <row r="117" spans="1:19" s="3" customFormat="1" ht="33" customHeight="1" x14ac:dyDescent="0.25">
      <c r="A117" s="123" t="s">
        <v>456</v>
      </c>
      <c r="B117" s="124" t="e">
        <f>AVERAGE(B68:D68)</f>
        <v>#N/A</v>
      </c>
      <c r="C117" s="125"/>
      <c r="D117" s="125"/>
      <c r="E117" s="125"/>
      <c r="F117" s="125"/>
      <c r="G117" s="125"/>
      <c r="H117" s="126"/>
      <c r="I117" s="125"/>
      <c r="J117" s="125"/>
      <c r="K117" s="125"/>
      <c r="L117" s="127"/>
      <c r="M117" s="125"/>
      <c r="N117" s="129"/>
      <c r="O117" s="128"/>
      <c r="P117" s="128"/>
      <c r="Q117" s="52"/>
      <c r="R117" s="52"/>
      <c r="S117" s="53"/>
    </row>
    <row r="118" spans="1:19" s="4" customFormat="1" ht="33" customHeight="1" x14ac:dyDescent="0.25">
      <c r="A118" s="870" t="s">
        <v>498</v>
      </c>
      <c r="B118" s="871">
        <v>0</v>
      </c>
      <c r="C118" s="872" t="s">
        <v>490</v>
      </c>
      <c r="D118" s="881" t="e">
        <f>VLOOKUP(B117,$C$26:$I$28,7,TRUE)</f>
        <v>#N/A</v>
      </c>
      <c r="E118" s="872" t="s">
        <v>499</v>
      </c>
      <c r="F118" s="872" t="s">
        <v>491</v>
      </c>
      <c r="G118" s="882" t="e">
        <f>O26</f>
        <v>#N/A</v>
      </c>
      <c r="H118" s="882" t="e">
        <f t="shared" si="1"/>
        <v>#N/A</v>
      </c>
      <c r="I118" s="872" t="s">
        <v>499</v>
      </c>
      <c r="J118" s="883" t="e">
        <f>-(0.009 * EXP(0.061 * B113)/(273.15 + B113))</f>
        <v>#N/A</v>
      </c>
      <c r="K118" s="872" t="s">
        <v>500</v>
      </c>
      <c r="L118" s="876" t="e">
        <f>H118*J118</f>
        <v>#N/A</v>
      </c>
      <c r="M118" s="872" t="s">
        <v>487</v>
      </c>
      <c r="N118" s="877" t="e">
        <f t="shared" si="3"/>
        <v>#N/A</v>
      </c>
      <c r="O118" s="878">
        <f>0.5*(100%-95.45%)^-2</f>
        <v>241.5167250332087</v>
      </c>
      <c r="P118" s="879" t="e">
        <f t="shared" si="2"/>
        <v>#N/A</v>
      </c>
      <c r="Q118" s="52"/>
      <c r="R118" s="52"/>
      <c r="S118" s="52"/>
    </row>
    <row r="119" spans="1:19" s="3" customFormat="1" ht="33" customHeight="1" x14ac:dyDescent="0.25">
      <c r="A119" s="870" t="s">
        <v>501</v>
      </c>
      <c r="B119" s="871">
        <v>0</v>
      </c>
      <c r="C119" s="872" t="s">
        <v>494</v>
      </c>
      <c r="D119" s="881" t="e">
        <f>E26</f>
        <v>#N/A</v>
      </c>
      <c r="E119" s="872" t="s">
        <v>499</v>
      </c>
      <c r="F119" s="872" t="s">
        <v>495</v>
      </c>
      <c r="G119" s="882">
        <f>SQRT(12)</f>
        <v>3.4641016151377544</v>
      </c>
      <c r="H119" s="883" t="e">
        <f t="shared" si="1"/>
        <v>#N/A</v>
      </c>
      <c r="I119" s="872" t="s">
        <v>499</v>
      </c>
      <c r="J119" s="883" t="e">
        <f>-(0.009 * EXP(0.061 * B113)/(273.15 + B113))</f>
        <v>#N/A</v>
      </c>
      <c r="K119" s="872" t="s">
        <v>500</v>
      </c>
      <c r="L119" s="876" t="e">
        <f>H119*J119</f>
        <v>#N/A</v>
      </c>
      <c r="M119" s="872" t="s">
        <v>487</v>
      </c>
      <c r="N119" s="877" t="e">
        <f t="shared" si="3"/>
        <v>#N/A</v>
      </c>
      <c r="O119" s="884">
        <f>0.5*(100%-90%)^-2</f>
        <v>50.000000000000028</v>
      </c>
      <c r="P119" s="886" t="e">
        <f t="shared" si="2"/>
        <v>#N/A</v>
      </c>
      <c r="Q119" s="52"/>
      <c r="R119" s="52"/>
      <c r="S119" s="53"/>
    </row>
    <row r="120" spans="1:19" s="4" customFormat="1" ht="33" customHeight="1" x14ac:dyDescent="0.25">
      <c r="A120" s="870" t="s">
        <v>502</v>
      </c>
      <c r="B120" s="871">
        <v>0</v>
      </c>
      <c r="C120" s="872" t="s">
        <v>497</v>
      </c>
      <c r="D120" s="881">
        <v>0</v>
      </c>
      <c r="E120" s="872" t="s">
        <v>499</v>
      </c>
      <c r="F120" s="872" t="s">
        <v>495</v>
      </c>
      <c r="G120" s="882">
        <f>SQRT(12)</f>
        <v>3.4641016151377544</v>
      </c>
      <c r="H120" s="882">
        <f t="shared" si="1"/>
        <v>0</v>
      </c>
      <c r="I120" s="872" t="s">
        <v>499</v>
      </c>
      <c r="J120" s="883" t="e">
        <f>-(0.009 * EXP(0.061 * B113)/(273.15 + B113))</f>
        <v>#N/A</v>
      </c>
      <c r="K120" s="872" t="s">
        <v>500</v>
      </c>
      <c r="L120" s="876" t="e">
        <f>H120*J120</f>
        <v>#N/A</v>
      </c>
      <c r="M120" s="872" t="s">
        <v>487</v>
      </c>
      <c r="N120" s="877" t="e">
        <f t="shared" si="3"/>
        <v>#N/A</v>
      </c>
      <c r="O120" s="884">
        <f>0.5*(100%-90%)^-2</f>
        <v>50.000000000000028</v>
      </c>
      <c r="P120" s="885" t="e">
        <f t="shared" si="2"/>
        <v>#N/A</v>
      </c>
      <c r="Q120" s="52"/>
      <c r="R120" s="52"/>
      <c r="S120" s="52"/>
    </row>
    <row r="121" spans="1:19" s="3" customFormat="1" ht="33" customHeight="1" x14ac:dyDescent="0.25">
      <c r="A121" s="123" t="s">
        <v>503</v>
      </c>
      <c r="B121" s="124" t="e">
        <f>AVERAGE(B69:D69)</f>
        <v>#N/A</v>
      </c>
      <c r="C121" s="125"/>
      <c r="D121" s="125"/>
      <c r="E121" s="125"/>
      <c r="F121" s="125"/>
      <c r="G121" s="125"/>
      <c r="H121" s="126"/>
      <c r="I121" s="125"/>
      <c r="J121" s="125"/>
      <c r="K121" s="125"/>
      <c r="L121" s="127"/>
      <c r="M121" s="125"/>
      <c r="N121" s="129"/>
      <c r="O121" s="128"/>
      <c r="P121" s="128"/>
      <c r="Q121" s="52"/>
      <c r="R121" s="52"/>
      <c r="S121" s="53"/>
    </row>
    <row r="122" spans="1:19" s="4" customFormat="1" ht="33" customHeight="1" x14ac:dyDescent="0.25">
      <c r="A122" s="870" t="s">
        <v>504</v>
      </c>
      <c r="B122" s="871">
        <v>0</v>
      </c>
      <c r="C122" s="872" t="s">
        <v>490</v>
      </c>
      <c r="D122" s="887" t="e">
        <f>I30</f>
        <v>#N/A</v>
      </c>
      <c r="E122" s="872" t="s">
        <v>129</v>
      </c>
      <c r="F122" s="872" t="s">
        <v>491</v>
      </c>
      <c r="G122" s="881" t="e">
        <f>O29</f>
        <v>#N/A</v>
      </c>
      <c r="H122" s="887" t="e">
        <f t="shared" si="1"/>
        <v>#N/A</v>
      </c>
      <c r="I122" s="872" t="s">
        <v>129</v>
      </c>
      <c r="J122" s="877" t="e">
        <f>0.34848/(273.15 + B113)</f>
        <v>#N/A</v>
      </c>
      <c r="K122" s="872" t="s">
        <v>505</v>
      </c>
      <c r="L122" s="876" t="e">
        <f>H122*J122</f>
        <v>#N/A</v>
      </c>
      <c r="M122" s="872" t="s">
        <v>487</v>
      </c>
      <c r="N122" s="877" t="e">
        <f t="shared" si="3"/>
        <v>#N/A</v>
      </c>
      <c r="O122" s="878">
        <f>0.5*(100%-95.45%)^-2</f>
        <v>241.5167250332087</v>
      </c>
      <c r="P122" s="879" t="e">
        <f t="shared" si="2"/>
        <v>#N/A</v>
      </c>
      <c r="Q122" s="52"/>
      <c r="R122" s="52"/>
      <c r="S122" s="52"/>
    </row>
    <row r="123" spans="1:19" s="3" customFormat="1" ht="33" customHeight="1" x14ac:dyDescent="0.25">
      <c r="A123" s="870" t="s">
        <v>506</v>
      </c>
      <c r="B123" s="871">
        <v>0</v>
      </c>
      <c r="C123" s="872" t="s">
        <v>494</v>
      </c>
      <c r="D123" s="881" t="e">
        <f>E29</f>
        <v>#N/A</v>
      </c>
      <c r="E123" s="872" t="s">
        <v>129</v>
      </c>
      <c r="F123" s="872" t="s">
        <v>495</v>
      </c>
      <c r="G123" s="882">
        <f>SQRT(12)</f>
        <v>3.4641016151377544</v>
      </c>
      <c r="H123" s="876" t="e">
        <f t="shared" si="1"/>
        <v>#N/A</v>
      </c>
      <c r="I123" s="872" t="s">
        <v>129</v>
      </c>
      <c r="J123" s="877" t="e">
        <f>0.34848/(273.15 + B113)</f>
        <v>#N/A</v>
      </c>
      <c r="K123" s="872" t="s">
        <v>505</v>
      </c>
      <c r="L123" s="876" t="e">
        <f>H123*J123</f>
        <v>#N/A</v>
      </c>
      <c r="M123" s="872" t="s">
        <v>487</v>
      </c>
      <c r="N123" s="877" t="e">
        <f t="shared" si="3"/>
        <v>#N/A</v>
      </c>
      <c r="O123" s="884">
        <f>0.5*(100%-90%)^-2</f>
        <v>50.000000000000028</v>
      </c>
      <c r="P123" s="885" t="e">
        <f t="shared" si="2"/>
        <v>#N/A</v>
      </c>
      <c r="Q123" s="52"/>
      <c r="R123" s="52"/>
      <c r="S123" s="53"/>
    </row>
    <row r="124" spans="1:19" s="4" customFormat="1" ht="33" customHeight="1" thickBot="1" x14ac:dyDescent="0.3">
      <c r="A124" s="888" t="s">
        <v>507</v>
      </c>
      <c r="B124" s="889">
        <v>0</v>
      </c>
      <c r="C124" s="890" t="s">
        <v>497</v>
      </c>
      <c r="D124" s="891">
        <v>0</v>
      </c>
      <c r="E124" s="890" t="s">
        <v>129</v>
      </c>
      <c r="F124" s="890" t="s">
        <v>495</v>
      </c>
      <c r="G124" s="892">
        <f>SQRT(12)</f>
        <v>3.4641016151377544</v>
      </c>
      <c r="H124" s="892">
        <f t="shared" si="1"/>
        <v>0</v>
      </c>
      <c r="I124" s="890" t="s">
        <v>129</v>
      </c>
      <c r="J124" s="893" t="e">
        <f>0.34848/(273.15 + B113)</f>
        <v>#N/A</v>
      </c>
      <c r="K124" s="890" t="s">
        <v>505</v>
      </c>
      <c r="L124" s="894" t="e">
        <f>H124*J124</f>
        <v>#N/A</v>
      </c>
      <c r="M124" s="890" t="s">
        <v>487</v>
      </c>
      <c r="N124" s="893" t="e">
        <f>L124^2</f>
        <v>#N/A</v>
      </c>
      <c r="O124" s="895">
        <f>0.5*(100%-90%)^-2</f>
        <v>50.000000000000028</v>
      </c>
      <c r="P124" s="896" t="e">
        <f t="shared" si="2"/>
        <v>#N/A</v>
      </c>
      <c r="Q124" s="52"/>
      <c r="R124" s="52"/>
      <c r="S124" s="52"/>
    </row>
    <row r="125" spans="1:19" s="3" customFormat="1" ht="33" customHeight="1" thickBot="1" x14ac:dyDescent="0.3">
      <c r="A125" s="320" t="s">
        <v>508</v>
      </c>
      <c r="B125" s="901" t="e">
        <f>(0.34848*B121-((0.009*B117)*EXP(0.061*B113)))/(273.15+B113)</f>
        <v>#N/A</v>
      </c>
      <c r="C125" s="131"/>
      <c r="D125" s="131"/>
      <c r="E125" s="131"/>
      <c r="F125" s="131"/>
      <c r="G125" s="131"/>
      <c r="H125" s="131"/>
      <c r="I125" s="131"/>
      <c r="J125" s="131"/>
      <c r="K125" s="132"/>
      <c r="L125" s="1787" t="s">
        <v>509</v>
      </c>
      <c r="M125" s="1788"/>
      <c r="N125" s="897" t="e">
        <f>SQRT(N112+N114+N115+N118+N119+N122+N123+N116+N120+N124)</f>
        <v>#N/A</v>
      </c>
      <c r="O125" s="898" t="s">
        <v>510</v>
      </c>
      <c r="P125" s="53"/>
      <c r="Q125" s="52"/>
      <c r="R125" s="52"/>
      <c r="S125" s="53"/>
    </row>
    <row r="126" spans="1:19" s="4" customFormat="1" ht="33" customHeight="1" thickBot="1" x14ac:dyDescent="0.3">
      <c r="A126" s="130" t="s">
        <v>483</v>
      </c>
      <c r="B126" s="902" t="e">
        <f>B125/1000</f>
        <v>#N/A</v>
      </c>
      <c r="C126" s="131"/>
      <c r="D126" s="133"/>
      <c r="E126" s="131"/>
      <c r="F126" s="131"/>
      <c r="G126" s="131"/>
      <c r="H126" s="133"/>
      <c r="I126" s="133"/>
      <c r="J126" s="131"/>
      <c r="K126" s="131"/>
      <c r="L126" s="1785" t="s">
        <v>511</v>
      </c>
      <c r="M126" s="1786"/>
      <c r="N126" s="811" t="e">
        <f>N125^4/((L112^4/O112)+(L114^4/O114)+(L115^4/O115)+(L118^4/O118)+(L119^4/O119)+(L122^4/O122)+(L123^4/O123)+(L116^4/O116)+(L120^4/O120)+(L124^4/O124))</f>
        <v>#N/A</v>
      </c>
      <c r="O126" s="810" t="e">
        <f>_xlfn.T.INV.2T(0.05,N126)</f>
        <v>#N/A</v>
      </c>
      <c r="P126" s="113"/>
      <c r="Q126" s="52"/>
      <c r="R126" s="52"/>
      <c r="S126" s="52"/>
    </row>
    <row r="127" spans="1:19" s="3" customFormat="1" ht="33" customHeight="1" thickBot="1" x14ac:dyDescent="0.3">
      <c r="A127" s="134"/>
      <c r="B127" s="135"/>
      <c r="C127" s="136"/>
      <c r="D127" s="136"/>
      <c r="E127" s="136"/>
      <c r="F127" s="136"/>
      <c r="G127" s="136"/>
      <c r="H127" s="136"/>
      <c r="I127" s="136"/>
      <c r="J127" s="136"/>
      <c r="K127" s="137"/>
      <c r="L127" s="1785" t="s">
        <v>512</v>
      </c>
      <c r="M127" s="1786"/>
      <c r="N127" s="899" t="e">
        <f>N125*O126</f>
        <v>#N/A</v>
      </c>
      <c r="O127" s="900" t="s">
        <v>510</v>
      </c>
      <c r="P127" s="53"/>
      <c r="Q127" s="52"/>
      <c r="R127" s="52"/>
      <c r="S127" s="53"/>
    </row>
    <row r="128" spans="1:19" s="4" customFormat="1" ht="33" customHeight="1" thickBot="1" x14ac:dyDescent="0.3">
      <c r="A128" s="136"/>
      <c r="B128" s="136"/>
      <c r="C128" s="136"/>
      <c r="D128" s="136"/>
      <c r="E128" s="136"/>
      <c r="F128" s="136"/>
      <c r="G128" s="136"/>
      <c r="H128" s="136"/>
      <c r="I128" s="136"/>
      <c r="J128" s="136"/>
      <c r="K128" s="137"/>
      <c r="L128" s="1785" t="s">
        <v>509</v>
      </c>
      <c r="M128" s="1786"/>
      <c r="N128" s="899" t="e">
        <f>N125/1000</f>
        <v>#N/A</v>
      </c>
      <c r="O128" s="900" t="s">
        <v>513</v>
      </c>
      <c r="P128" s="88"/>
      <c r="Q128" s="52"/>
      <c r="R128" s="52"/>
      <c r="S128" s="52"/>
    </row>
    <row r="129" spans="1:19" s="3" customFormat="1" ht="33" customHeight="1" x14ac:dyDescent="0.25">
      <c r="A129" s="52"/>
      <c r="B129" s="53"/>
      <c r="C129" s="53"/>
      <c r="D129" s="53"/>
      <c r="E129" s="55"/>
      <c r="F129" s="55"/>
      <c r="G129" s="53"/>
      <c r="H129" s="53"/>
      <c r="I129" s="53"/>
      <c r="J129" s="53"/>
      <c r="K129" s="53"/>
      <c r="L129" s="138"/>
      <c r="M129" s="50"/>
      <c r="N129" s="53"/>
      <c r="O129" s="53"/>
      <c r="P129" s="53"/>
      <c r="Q129" s="52"/>
      <c r="R129" s="52"/>
      <c r="S129" s="53"/>
    </row>
    <row r="130" spans="1:19" s="4" customFormat="1" ht="33" customHeight="1" x14ac:dyDescent="0.25">
      <c r="A130" s="52"/>
      <c r="B130" s="1759"/>
      <c r="C130" s="1759"/>
      <c r="D130" s="1759"/>
      <c r="E130" s="55"/>
      <c r="F130" s="55"/>
      <c r="G130" s="53"/>
      <c r="H130" s="53"/>
      <c r="I130" s="53"/>
      <c r="J130" s="53"/>
      <c r="K130" s="71"/>
      <c r="L130" s="139"/>
      <c r="M130" s="50"/>
      <c r="N130" s="53"/>
      <c r="O130" s="53"/>
      <c r="P130" s="53"/>
      <c r="Q130" s="52"/>
      <c r="R130" s="52"/>
      <c r="S130" s="52"/>
    </row>
    <row r="131" spans="1:19" s="4" customFormat="1" ht="33" customHeight="1" thickBot="1" x14ac:dyDescent="0.3">
      <c r="A131" s="52"/>
      <c r="B131" s="53"/>
      <c r="C131" s="53"/>
      <c r="D131" s="53"/>
      <c r="E131" s="53"/>
      <c r="F131" s="53"/>
      <c r="G131" s="53"/>
      <c r="H131" s="53"/>
      <c r="I131" s="53"/>
      <c r="J131" s="53"/>
      <c r="K131" s="53"/>
      <c r="L131" s="140"/>
      <c r="M131" s="50"/>
      <c r="N131" s="50"/>
      <c r="O131" s="53"/>
      <c r="P131" s="53"/>
      <c r="Q131" s="52"/>
      <c r="R131" s="52"/>
      <c r="S131" s="52"/>
    </row>
    <row r="132" spans="1:19" s="4" customFormat="1" ht="33" customHeight="1" x14ac:dyDescent="0.25">
      <c r="A132" s="1765" t="s">
        <v>514</v>
      </c>
      <c r="B132" s="1766"/>
      <c r="C132" s="1766"/>
      <c r="D132" s="1766"/>
      <c r="E132" s="1766"/>
      <c r="F132" s="1766"/>
      <c r="G132" s="1766"/>
      <c r="H132" s="1766"/>
      <c r="I132" s="1766"/>
      <c r="J132" s="1766"/>
      <c r="K132" s="1766"/>
      <c r="L132" s="1766"/>
      <c r="M132" s="1766"/>
      <c r="N132" s="1766"/>
      <c r="O132" s="1766"/>
      <c r="P132" s="1767"/>
      <c r="Q132" s="52"/>
      <c r="R132" s="52"/>
      <c r="S132" s="52"/>
    </row>
    <row r="133" spans="1:19" s="4" customFormat="1" ht="33" customHeight="1" thickBot="1" x14ac:dyDescent="0.3">
      <c r="A133" s="1768"/>
      <c r="B133" s="1769"/>
      <c r="C133" s="1769"/>
      <c r="D133" s="1769"/>
      <c r="E133" s="1769"/>
      <c r="F133" s="1769"/>
      <c r="G133" s="1769"/>
      <c r="H133" s="1769"/>
      <c r="I133" s="1769"/>
      <c r="J133" s="1769"/>
      <c r="K133" s="1769"/>
      <c r="L133" s="1769"/>
      <c r="M133" s="1769"/>
      <c r="N133" s="1769"/>
      <c r="O133" s="1769"/>
      <c r="P133" s="1770"/>
      <c r="Q133" s="52"/>
      <c r="R133" s="52"/>
      <c r="S133" s="52"/>
    </row>
    <row r="134" spans="1:19" s="4" customFormat="1" ht="33" customHeight="1" thickBot="1" x14ac:dyDescent="0.3">
      <c r="A134" s="950" t="s">
        <v>471</v>
      </c>
      <c r="B134" s="951" t="s">
        <v>472</v>
      </c>
      <c r="C134" s="950" t="s">
        <v>473</v>
      </c>
      <c r="D134" s="1753" t="s">
        <v>474</v>
      </c>
      <c r="E134" s="1754"/>
      <c r="F134" s="950" t="s">
        <v>475</v>
      </c>
      <c r="G134" s="952" t="s">
        <v>476</v>
      </c>
      <c r="H134" s="1753" t="s">
        <v>477</v>
      </c>
      <c r="I134" s="1754"/>
      <c r="J134" s="1751" t="s">
        <v>515</v>
      </c>
      <c r="K134" s="1751"/>
      <c r="L134" s="1753" t="s">
        <v>516</v>
      </c>
      <c r="M134" s="1754"/>
      <c r="N134" s="950" t="s">
        <v>517</v>
      </c>
      <c r="O134" s="951" t="s">
        <v>518</v>
      </c>
      <c r="P134" s="953" t="s">
        <v>519</v>
      </c>
      <c r="Q134" s="52"/>
      <c r="R134" s="52"/>
      <c r="S134" s="52"/>
    </row>
    <row r="135" spans="1:19" s="4" customFormat="1" ht="33" customHeight="1" x14ac:dyDescent="0.25">
      <c r="A135" s="141" t="s">
        <v>520</v>
      </c>
      <c r="B135" s="142"/>
      <c r="C135" s="143"/>
      <c r="D135" s="144"/>
      <c r="E135" s="143"/>
      <c r="F135" s="143"/>
      <c r="G135" s="143"/>
      <c r="H135" s="143"/>
      <c r="I135" s="143"/>
      <c r="J135" s="143"/>
      <c r="K135" s="143"/>
      <c r="L135" s="145"/>
      <c r="M135" s="143"/>
      <c r="N135" s="143"/>
      <c r="O135" s="146"/>
      <c r="P135" s="122" t="e">
        <f>SUM(P136:P146)</f>
        <v>#DIV/0!</v>
      </c>
      <c r="Q135" s="52"/>
      <c r="R135" s="52"/>
      <c r="S135" s="52"/>
    </row>
    <row r="136" spans="1:19" s="4" customFormat="1" ht="33" customHeight="1" x14ac:dyDescent="0.25">
      <c r="A136" s="1011" t="s">
        <v>521</v>
      </c>
      <c r="B136" s="1012">
        <v>0</v>
      </c>
      <c r="C136" s="1013" t="s">
        <v>522</v>
      </c>
      <c r="D136" s="1014" t="e">
        <f>SQRT(SUMSQ(H140:H142))*(((-0.1176*B139^2)+(15.846*B139)-62.677)*0.000001)*B147</f>
        <v>#DIV/0!</v>
      </c>
      <c r="E136" s="1015" t="s">
        <v>523</v>
      </c>
      <c r="F136" s="1016" t="s">
        <v>486</v>
      </c>
      <c r="G136" s="1016">
        <v>1</v>
      </c>
      <c r="H136" s="1017" t="e">
        <f>D136/G136</f>
        <v>#DIV/0!</v>
      </c>
      <c r="I136" s="1016" t="s">
        <v>523</v>
      </c>
      <c r="J136" s="1016">
        <v>1</v>
      </c>
      <c r="K136" s="1016" t="s">
        <v>523</v>
      </c>
      <c r="L136" s="1017" t="e">
        <f>H136*J136</f>
        <v>#DIV/0!</v>
      </c>
      <c r="M136" s="1016" t="s">
        <v>523</v>
      </c>
      <c r="N136" s="1017" t="e">
        <f>L136^2</f>
        <v>#DIV/0!</v>
      </c>
      <c r="O136" s="1018">
        <f>0.5*(100%-93%)^-2</f>
        <v>102.04081632653076</v>
      </c>
      <c r="P136" s="1019" t="e">
        <f>(L136/$N$147)^2</f>
        <v>#DIV/0!</v>
      </c>
      <c r="Q136" s="52"/>
      <c r="R136" s="52"/>
      <c r="S136" s="52"/>
    </row>
    <row r="137" spans="1:19" s="4" customFormat="1" ht="33" customHeight="1" x14ac:dyDescent="0.25">
      <c r="A137" s="1011" t="s">
        <v>524</v>
      </c>
      <c r="B137" s="1012">
        <v>0</v>
      </c>
      <c r="C137" s="1013" t="s">
        <v>525</v>
      </c>
      <c r="D137" s="1014" t="e">
        <f>E32</f>
        <v>#N/A</v>
      </c>
      <c r="E137" s="1015" t="s">
        <v>523</v>
      </c>
      <c r="F137" s="1016" t="s">
        <v>486</v>
      </c>
      <c r="G137" s="1020">
        <f>SQRT(12)</f>
        <v>3.4641016151377544</v>
      </c>
      <c r="H137" s="1017" t="e">
        <f>D137/G137</f>
        <v>#N/A</v>
      </c>
      <c r="I137" s="1016" t="s">
        <v>523</v>
      </c>
      <c r="J137" s="1016">
        <v>1</v>
      </c>
      <c r="K137" s="1016" t="s">
        <v>523</v>
      </c>
      <c r="L137" s="1017" t="e">
        <f>H137*J137</f>
        <v>#N/A</v>
      </c>
      <c r="M137" s="1016" t="s">
        <v>523</v>
      </c>
      <c r="N137" s="1017" t="e">
        <f>L137^2</f>
        <v>#N/A</v>
      </c>
      <c r="O137" s="1018">
        <f>0.5*(100%-93%)^-2</f>
        <v>102.04081632653076</v>
      </c>
      <c r="P137" s="1019" t="e">
        <f t="shared" ref="P137:P146" si="4">(L137/$N$147)^2</f>
        <v>#N/A</v>
      </c>
      <c r="Q137" s="52"/>
      <c r="R137" s="52"/>
      <c r="S137" s="52"/>
    </row>
    <row r="138" spans="1:19" s="4" customFormat="1" ht="33" customHeight="1" x14ac:dyDescent="0.25">
      <c r="A138" s="1011" t="s">
        <v>484</v>
      </c>
      <c r="B138" s="1012">
        <v>0</v>
      </c>
      <c r="C138" s="1013" t="s">
        <v>526</v>
      </c>
      <c r="D138" s="1014" t="e">
        <f>I32</f>
        <v>#N/A</v>
      </c>
      <c r="E138" s="1015" t="s">
        <v>523</v>
      </c>
      <c r="F138" s="1016" t="s">
        <v>486</v>
      </c>
      <c r="G138" s="1021">
        <v>1</v>
      </c>
      <c r="H138" s="1017" t="e">
        <f>D138/G138</f>
        <v>#N/A</v>
      </c>
      <c r="I138" s="1016" t="s">
        <v>523</v>
      </c>
      <c r="J138" s="1016">
        <v>1</v>
      </c>
      <c r="K138" s="1016" t="s">
        <v>523</v>
      </c>
      <c r="L138" s="1017" t="e">
        <f>H138*J138</f>
        <v>#N/A</v>
      </c>
      <c r="M138" s="1016" t="s">
        <v>523</v>
      </c>
      <c r="N138" s="1017" t="e">
        <f>L138^2</f>
        <v>#N/A</v>
      </c>
      <c r="O138" s="1018">
        <f>0.5*(100%-93%)^-2</f>
        <v>102.04081632653076</v>
      </c>
      <c r="P138" s="1022" t="e">
        <f t="shared" si="4"/>
        <v>#N/A</v>
      </c>
      <c r="Q138" s="52"/>
      <c r="R138" s="52"/>
      <c r="S138" s="52"/>
    </row>
    <row r="139" spans="1:19" s="4" customFormat="1" ht="33" customHeight="1" x14ac:dyDescent="0.25">
      <c r="A139" s="147" t="s">
        <v>527</v>
      </c>
      <c r="B139" s="148" t="e">
        <f>AVERAGE(B88:D88)</f>
        <v>#DIV/0!</v>
      </c>
      <c r="C139" s="149"/>
      <c r="D139" s="150"/>
      <c r="E139" s="149"/>
      <c r="F139" s="149"/>
      <c r="G139" s="149"/>
      <c r="H139" s="149"/>
      <c r="I139" s="149"/>
      <c r="J139" s="149"/>
      <c r="K139" s="149"/>
      <c r="L139" s="151"/>
      <c r="M139" s="149"/>
      <c r="N139" s="149"/>
      <c r="O139" s="152"/>
      <c r="P139" s="152"/>
      <c r="Q139" s="52"/>
      <c r="R139" s="52"/>
      <c r="S139" s="52"/>
    </row>
    <row r="140" spans="1:19" s="4" customFormat="1" ht="33" customHeight="1" x14ac:dyDescent="0.25">
      <c r="A140" s="1011" t="s">
        <v>489</v>
      </c>
      <c r="B140" s="1012">
        <v>0</v>
      </c>
      <c r="C140" s="1016" t="s">
        <v>490</v>
      </c>
      <c r="D140" s="1023" t="e">
        <f>VLOOKUP(B139,C8:I12,7,TRUE)</f>
        <v>#DIV/0!</v>
      </c>
      <c r="E140" s="1016" t="s">
        <v>35</v>
      </c>
      <c r="F140" s="1016" t="s">
        <v>491</v>
      </c>
      <c r="G140" s="1024" t="str">
        <f>O8</f>
        <v>N/A</v>
      </c>
      <c r="H140" s="1016" t="e">
        <f>D140/G140</f>
        <v>#DIV/0!</v>
      </c>
      <c r="I140" s="1016" t="s">
        <v>35</v>
      </c>
      <c r="J140" s="1016"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0" s="1016" t="s">
        <v>528</v>
      </c>
      <c r="L140" s="1017" t="e">
        <f>H140*J140</f>
        <v>#DIV/0!</v>
      </c>
      <c r="M140" s="1016" t="s">
        <v>523</v>
      </c>
      <c r="N140" s="1017" t="e">
        <f>L140^2</f>
        <v>#DIV/0!</v>
      </c>
      <c r="O140" s="1018">
        <f>0.5*(100%-95%)^-2</f>
        <v>199.99999999999966</v>
      </c>
      <c r="P140" s="1019" t="e">
        <f t="shared" si="4"/>
        <v>#DIV/0!</v>
      </c>
      <c r="Q140" s="52"/>
      <c r="R140" s="52"/>
      <c r="S140" s="52"/>
    </row>
    <row r="141" spans="1:19" s="4" customFormat="1" ht="33" customHeight="1" x14ac:dyDescent="0.25">
      <c r="A141" s="1011" t="s">
        <v>529</v>
      </c>
      <c r="B141" s="1025">
        <v>0</v>
      </c>
      <c r="C141" s="1016" t="s">
        <v>530</v>
      </c>
      <c r="D141" s="1023" t="str">
        <f>E8</f>
        <v>N/A</v>
      </c>
      <c r="E141" s="1016" t="s">
        <v>35</v>
      </c>
      <c r="F141" s="1016" t="s">
        <v>495</v>
      </c>
      <c r="G141" s="1020">
        <f>SQRT(12)</f>
        <v>3.4641016151377544</v>
      </c>
      <c r="H141" s="1016" t="e">
        <f>D141/G141</f>
        <v>#VALUE!</v>
      </c>
      <c r="I141" s="1016" t="s">
        <v>35</v>
      </c>
      <c r="J141" s="1016"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1" s="1016" t="s">
        <v>528</v>
      </c>
      <c r="L141" s="1017" t="e">
        <f>H141*J141</f>
        <v>#VALUE!</v>
      </c>
      <c r="M141" s="1016" t="s">
        <v>523</v>
      </c>
      <c r="N141" s="1017" t="e">
        <f t="shared" ref="N141:N146" si="5">L141^2</f>
        <v>#VALUE!</v>
      </c>
      <c r="O141" s="1018">
        <f>0.5*(100%-93%)^-2</f>
        <v>102.04081632653076</v>
      </c>
      <c r="P141" s="1026" t="e">
        <f t="shared" si="4"/>
        <v>#VALUE!</v>
      </c>
      <c r="Q141" s="52"/>
      <c r="R141" s="52"/>
      <c r="S141" s="52"/>
    </row>
    <row r="142" spans="1:19" s="4" customFormat="1" ht="33" customHeight="1" x14ac:dyDescent="0.25">
      <c r="A142" s="1011" t="s">
        <v>496</v>
      </c>
      <c r="B142" s="1012">
        <v>0</v>
      </c>
      <c r="C142" s="1016" t="s">
        <v>531</v>
      </c>
      <c r="D142" s="1027" t="e">
        <f>VLOOKUP(B139,C8:K12,9,TRUE)</f>
        <v>#DIV/0!</v>
      </c>
      <c r="E142" s="1016" t="s">
        <v>35</v>
      </c>
      <c r="F142" s="1016" t="s">
        <v>495</v>
      </c>
      <c r="G142" s="1020">
        <f>SQRT(12)</f>
        <v>3.4641016151377544</v>
      </c>
      <c r="H142" s="1016" t="e">
        <f>D142/G142</f>
        <v>#DIV/0!</v>
      </c>
      <c r="I142" s="1016" t="s">
        <v>35</v>
      </c>
      <c r="J142" s="1016"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2" s="1016" t="s">
        <v>528</v>
      </c>
      <c r="L142" s="1017" t="e">
        <f>H142*J142</f>
        <v>#DIV/0!</v>
      </c>
      <c r="M142" s="1016" t="s">
        <v>523</v>
      </c>
      <c r="N142" s="1017" t="e">
        <f t="shared" si="5"/>
        <v>#DIV/0!</v>
      </c>
      <c r="O142" s="1018">
        <f>0.5*(100%-93%)^-2</f>
        <v>102.04081632653076</v>
      </c>
      <c r="P142" s="1028" t="e">
        <f t="shared" si="4"/>
        <v>#DIV/0!</v>
      </c>
      <c r="Q142" s="52"/>
      <c r="R142" s="52"/>
      <c r="S142" s="52"/>
    </row>
    <row r="143" spans="1:19" s="4" customFormat="1" ht="33" customHeight="1" x14ac:dyDescent="0.25">
      <c r="A143" s="147" t="s">
        <v>503</v>
      </c>
      <c r="B143" s="153" t="e">
        <f>AVERAGE(B69:D69)</f>
        <v>#N/A</v>
      </c>
      <c r="C143" s="149"/>
      <c r="D143" s="149"/>
      <c r="E143" s="149"/>
      <c r="F143" s="149"/>
      <c r="G143" s="149"/>
      <c r="H143" s="149"/>
      <c r="I143" s="149"/>
      <c r="J143" s="149"/>
      <c r="K143" s="149"/>
      <c r="L143" s="151"/>
      <c r="M143" s="149"/>
      <c r="N143" s="151"/>
      <c r="O143" s="152"/>
      <c r="P143" s="152"/>
      <c r="Q143" s="52"/>
      <c r="R143" s="52"/>
      <c r="S143" s="52"/>
    </row>
    <row r="144" spans="1:19" s="4" customFormat="1" ht="33" customHeight="1" x14ac:dyDescent="0.25">
      <c r="A144" s="1011" t="s">
        <v>504</v>
      </c>
      <c r="B144" s="1012">
        <v>0</v>
      </c>
      <c r="C144" s="1016" t="s">
        <v>490</v>
      </c>
      <c r="D144" s="1023" t="e">
        <f>D122</f>
        <v>#N/A</v>
      </c>
      <c r="E144" s="1016" t="s">
        <v>129</v>
      </c>
      <c r="F144" s="1016" t="s">
        <v>491</v>
      </c>
      <c r="G144" s="1021" t="e">
        <f>O29</f>
        <v>#N/A</v>
      </c>
      <c r="H144" s="1016" t="e">
        <f>D144/G144</f>
        <v>#N/A</v>
      </c>
      <c r="I144" s="1016" t="s">
        <v>129</v>
      </c>
      <c r="J144" s="1029" t="e">
        <f>(999.972 * (1 - ((((B139) + -3.983035)^2 * ((B139) + 301.797))/(522528.9 *
    ((B139) + 69.34881))))) * ((0.0000000005074 + (-0.00000000000326) * (B139) +
    0.0000000000000416 * (B139)^2) * 100)/1000</f>
        <v>#DIV/0!</v>
      </c>
      <c r="K144" s="1016" t="s">
        <v>532</v>
      </c>
      <c r="L144" s="1017" t="e">
        <f>H144*J144</f>
        <v>#N/A</v>
      </c>
      <c r="M144" s="1016" t="s">
        <v>523</v>
      </c>
      <c r="N144" s="1017" t="e">
        <f t="shared" si="5"/>
        <v>#N/A</v>
      </c>
      <c r="O144" s="1018">
        <f>0.5*(100%-95%)^-2</f>
        <v>199.99999999999966</v>
      </c>
      <c r="P144" s="1030" t="e">
        <f t="shared" si="4"/>
        <v>#N/A</v>
      </c>
      <c r="Q144" s="52"/>
      <c r="R144" s="52"/>
      <c r="S144" s="52"/>
    </row>
    <row r="145" spans="1:19" s="4" customFormat="1" ht="33" customHeight="1" x14ac:dyDescent="0.25">
      <c r="A145" s="1011" t="s">
        <v>533</v>
      </c>
      <c r="B145" s="1012">
        <v>0</v>
      </c>
      <c r="C145" s="1016" t="s">
        <v>534</v>
      </c>
      <c r="D145" s="1024" t="e">
        <f>E29</f>
        <v>#N/A</v>
      </c>
      <c r="E145" s="1016" t="s">
        <v>129</v>
      </c>
      <c r="F145" s="1016" t="s">
        <v>495</v>
      </c>
      <c r="G145" s="1020">
        <f>SQRT(12)</f>
        <v>3.4641016151377544</v>
      </c>
      <c r="H145" s="1016" t="e">
        <f>D145/G145</f>
        <v>#N/A</v>
      </c>
      <c r="I145" s="1016" t="s">
        <v>129</v>
      </c>
      <c r="J145" s="1029" t="e">
        <f>(999.972 * (1 - ((((B139) + -3.983035)^2 * ((B139) + 301.797))/(522528.9 *
    ((B139) + 69.34881))))) * ((0.0000000005074 + (-0.00000000000326) * (B139) +
    0.0000000000000416 * (B139)^2) * 100)/1000</f>
        <v>#DIV/0!</v>
      </c>
      <c r="K145" s="1016" t="s">
        <v>532</v>
      </c>
      <c r="L145" s="1017" t="e">
        <f>H145*J145</f>
        <v>#N/A</v>
      </c>
      <c r="M145" s="1016" t="s">
        <v>523</v>
      </c>
      <c r="N145" s="1017" t="e">
        <f t="shared" si="5"/>
        <v>#N/A</v>
      </c>
      <c r="O145" s="1018">
        <f>0.5*(100%-93%)^-2</f>
        <v>102.04081632653076</v>
      </c>
      <c r="P145" s="1031" t="e">
        <f t="shared" si="4"/>
        <v>#N/A</v>
      </c>
      <c r="Q145" s="52"/>
      <c r="R145" s="52"/>
      <c r="S145" s="52"/>
    </row>
    <row r="146" spans="1:19" s="4" customFormat="1" ht="33" customHeight="1" thickBot="1" x14ac:dyDescent="0.3">
      <c r="A146" s="1032" t="s">
        <v>507</v>
      </c>
      <c r="B146" s="1033">
        <v>0</v>
      </c>
      <c r="C146" s="1034" t="s">
        <v>531</v>
      </c>
      <c r="D146" s="1035">
        <v>0</v>
      </c>
      <c r="E146" s="1034" t="s">
        <v>129</v>
      </c>
      <c r="F146" s="1034" t="s">
        <v>495</v>
      </c>
      <c r="G146" s="1036">
        <f>SQRT(12)</f>
        <v>3.4641016151377544</v>
      </c>
      <c r="H146" s="1036">
        <f>D146/G146</f>
        <v>0</v>
      </c>
      <c r="I146" s="1034" t="s">
        <v>129</v>
      </c>
      <c r="J146" s="1037" t="e">
        <f>(999.972 * (1 - ((((B139) + -3.983035)^2 * ((B139) + 301.797))/(522528.9 *
    ((B139) + 69.34881))))) * ((0.0000000005074 + (-0.00000000000326) * (B139) +
    0.0000000000000416 * (B139)^2) * 100)/1000</f>
        <v>#DIV/0!</v>
      </c>
      <c r="K146" s="1034" t="s">
        <v>532</v>
      </c>
      <c r="L146" s="1038" t="e">
        <f>H146*J146</f>
        <v>#DIV/0!</v>
      </c>
      <c r="M146" s="1034" t="s">
        <v>523</v>
      </c>
      <c r="N146" s="1038" t="e">
        <f t="shared" si="5"/>
        <v>#DIV/0!</v>
      </c>
      <c r="O146" s="1039">
        <f>0.5*(100%-93%)^-2</f>
        <v>102.04081632653076</v>
      </c>
      <c r="P146" s="1040" t="e">
        <f t="shared" si="4"/>
        <v>#DIV/0!</v>
      </c>
      <c r="Q146" s="52"/>
      <c r="R146" s="52"/>
      <c r="S146" s="52"/>
    </row>
    <row r="147" spans="1:19" s="4" customFormat="1" ht="39.950000000000003" customHeight="1" thickBot="1" x14ac:dyDescent="0.3">
      <c r="A147" s="321" t="s">
        <v>520</v>
      </c>
      <c r="B147" s="1041" t="e">
        <f>(((999.972*(1-((((B139)+-3.983035)^2*((B139)+301.797))/(522528.9*((B139)+69.34881)))))*(1+((0.0000000005074+(-0.00000000000326)*(B139)+0.0000000000000416*(B139)^2)*(((B143)*100)-101325))))+(-0.004612+(0.000106*(B139))))/1000</f>
        <v>#DIV/0!</v>
      </c>
      <c r="C147" s="154"/>
      <c r="D147" s="154"/>
      <c r="E147" s="154"/>
      <c r="F147" s="154"/>
      <c r="G147" s="154"/>
      <c r="H147" s="154"/>
      <c r="I147" s="154"/>
      <c r="J147" s="154"/>
      <c r="K147" s="154"/>
      <c r="L147" s="1784" t="s">
        <v>535</v>
      </c>
      <c r="M147" s="1784"/>
      <c r="N147" s="1042" t="e">
        <f>SQRT(N136+N137+N138+N140+N141+N142+N144+N145+N146)</f>
        <v>#DIV/0!</v>
      </c>
      <c r="O147" s="1043" t="s">
        <v>536</v>
      </c>
      <c r="P147" s="155"/>
      <c r="Q147" s="52"/>
      <c r="R147" s="52"/>
      <c r="S147" s="52"/>
    </row>
    <row r="148" spans="1:19" s="4" customFormat="1" ht="39.950000000000003" customHeight="1" thickBot="1" x14ac:dyDescent="0.3">
      <c r="A148" s="156"/>
      <c r="B148" s="157"/>
      <c r="C148" s="158"/>
      <c r="D148" s="158"/>
      <c r="E148" s="158"/>
      <c r="F148" s="158"/>
      <c r="G148" s="158"/>
      <c r="H148" s="158"/>
      <c r="I148" s="158"/>
      <c r="J148" s="158"/>
      <c r="K148" s="158"/>
      <c r="L148" s="1712" t="s">
        <v>537</v>
      </c>
      <c r="M148" s="1712"/>
      <c r="N148" s="1044" t="e">
        <f>N147^4/((L140^4/O140)+(L141^4/O141)+(L142^4/O142)+(L144^4/O144)+(L145^4/O145)+(L146^4/O146)+(L138^4/O138)+(L137^4/O137)+(L136^4/O136))</f>
        <v>#DIV/0!</v>
      </c>
      <c r="O148" s="1045" t="e">
        <f>_xlfn.T.INV.2T(0.05,N148)</f>
        <v>#DIV/0!</v>
      </c>
      <c r="P148" s="155"/>
      <c r="Q148" s="52"/>
      <c r="R148" s="52"/>
      <c r="S148" s="52"/>
    </row>
    <row r="149" spans="1:19" s="4" customFormat="1" ht="39.950000000000003" customHeight="1" thickBot="1" x14ac:dyDescent="0.3">
      <c r="A149" s="156"/>
      <c r="B149" s="157"/>
      <c r="C149" s="158"/>
      <c r="D149" s="158"/>
      <c r="E149" s="158"/>
      <c r="F149" s="158"/>
      <c r="G149" s="158"/>
      <c r="H149" s="158"/>
      <c r="I149" s="158"/>
      <c r="J149" s="158"/>
      <c r="K149" s="158"/>
      <c r="L149" s="1710" t="s">
        <v>538</v>
      </c>
      <c r="M149" s="1711"/>
      <c r="N149" s="1046" t="e">
        <f>N147*O148</f>
        <v>#DIV/0!</v>
      </c>
      <c r="O149" s="1047" t="s">
        <v>536</v>
      </c>
      <c r="P149" s="155"/>
      <c r="Q149" s="52"/>
      <c r="R149" s="52"/>
      <c r="S149" s="52"/>
    </row>
    <row r="150" spans="1:19" s="4" customFormat="1" ht="39.950000000000003" customHeight="1" thickBot="1" x14ac:dyDescent="0.3">
      <c r="A150" s="156"/>
      <c r="B150" s="159"/>
      <c r="C150" s="136"/>
      <c r="D150" s="136"/>
      <c r="E150" s="136"/>
      <c r="F150" s="136"/>
      <c r="G150" s="136"/>
      <c r="H150" s="136"/>
      <c r="I150" s="136"/>
      <c r="J150" s="136"/>
      <c r="K150" s="136"/>
      <c r="L150" s="160"/>
      <c r="M150" s="160"/>
      <c r="N150" s="161"/>
      <c r="O150" s="162"/>
      <c r="P150" s="163"/>
      <c r="Q150" s="52"/>
      <c r="R150" s="52"/>
      <c r="S150" s="52"/>
    </row>
    <row r="151" spans="1:19" s="4" customFormat="1" ht="39.950000000000003" customHeight="1" x14ac:dyDescent="0.25">
      <c r="A151" s="1765" t="s">
        <v>539</v>
      </c>
      <c r="B151" s="1766"/>
      <c r="C151" s="1766"/>
      <c r="D151" s="1766"/>
      <c r="E151" s="1766"/>
      <c r="F151" s="1766"/>
      <c r="G151" s="1766"/>
      <c r="H151" s="1766"/>
      <c r="I151" s="1766"/>
      <c r="J151" s="1766"/>
      <c r="K151" s="1766"/>
      <c r="L151" s="1766"/>
      <c r="M151" s="1766"/>
      <c r="N151" s="1766"/>
      <c r="O151" s="1766"/>
      <c r="P151" s="1766"/>
      <c r="Q151" s="1766"/>
      <c r="R151" s="1767"/>
      <c r="S151" s="52"/>
    </row>
    <row r="152" spans="1:19" s="4" customFormat="1" ht="39.950000000000003" customHeight="1" thickBot="1" x14ac:dyDescent="0.3">
      <c r="A152" s="1768"/>
      <c r="B152" s="1769"/>
      <c r="C152" s="1769"/>
      <c r="D152" s="1769"/>
      <c r="E152" s="1769"/>
      <c r="F152" s="1769"/>
      <c r="G152" s="1769"/>
      <c r="H152" s="1769"/>
      <c r="I152" s="1769"/>
      <c r="J152" s="1769"/>
      <c r="K152" s="1769"/>
      <c r="L152" s="1769"/>
      <c r="M152" s="1769"/>
      <c r="N152" s="1769"/>
      <c r="O152" s="1769"/>
      <c r="P152" s="1769"/>
      <c r="Q152" s="1769"/>
      <c r="R152" s="1770"/>
      <c r="S152" s="52"/>
    </row>
    <row r="153" spans="1:19" s="4" customFormat="1" ht="59.25" customHeight="1" thickBot="1" x14ac:dyDescent="0.25">
      <c r="A153" s="944" t="s">
        <v>471</v>
      </c>
      <c r="B153" s="945" t="s">
        <v>472</v>
      </c>
      <c r="C153" s="946" t="s">
        <v>473</v>
      </c>
      <c r="D153" s="1698" t="s">
        <v>474</v>
      </c>
      <c r="E153" s="1699"/>
      <c r="F153" s="946" t="s">
        <v>475</v>
      </c>
      <c r="G153" s="947" t="s">
        <v>476</v>
      </c>
      <c r="H153" s="1698" t="s">
        <v>477</v>
      </c>
      <c r="I153" s="1699"/>
      <c r="J153" s="1700" t="s">
        <v>540</v>
      </c>
      <c r="K153" s="1700"/>
      <c r="L153" s="1698" t="s">
        <v>541</v>
      </c>
      <c r="M153" s="1699"/>
      <c r="N153" s="947" t="s">
        <v>542</v>
      </c>
      <c r="O153" s="947" t="s">
        <v>543</v>
      </c>
      <c r="P153" s="947" t="s">
        <v>544</v>
      </c>
      <c r="Q153" s="949"/>
      <c r="R153" s="946" t="s">
        <v>545</v>
      </c>
      <c r="S153" s="52"/>
    </row>
    <row r="154" spans="1:19" s="4" customFormat="1" ht="32.1" customHeight="1" x14ac:dyDescent="0.25">
      <c r="A154" s="904" t="s">
        <v>546</v>
      </c>
      <c r="B154" s="209" t="e">
        <f>B155-B160</f>
        <v>#N/A</v>
      </c>
      <c r="C154" s="164"/>
      <c r="D154" s="164"/>
      <c r="E154" s="164"/>
      <c r="F154" s="164"/>
      <c r="G154" s="164"/>
      <c r="H154" s="164"/>
      <c r="I154" s="164"/>
      <c r="J154" s="164"/>
      <c r="K154" s="164"/>
      <c r="L154" s="164"/>
      <c r="M154" s="164"/>
      <c r="N154" s="164"/>
      <c r="O154" s="164"/>
      <c r="P154" s="164"/>
      <c r="Q154" s="165"/>
      <c r="R154" s="166"/>
      <c r="S154" s="52"/>
    </row>
    <row r="155" spans="1:19" s="4" customFormat="1" ht="32.1" customHeight="1" x14ac:dyDescent="0.25">
      <c r="A155" s="905" t="s">
        <v>547</v>
      </c>
      <c r="B155" s="910" t="e">
        <f>AVERAGE(B86:D86)</f>
        <v>#N/A</v>
      </c>
      <c r="C155" s="167"/>
      <c r="D155" s="125"/>
      <c r="E155" s="125"/>
      <c r="F155" s="125"/>
      <c r="G155" s="125"/>
      <c r="H155" s="125"/>
      <c r="I155" s="125"/>
      <c r="J155" s="125"/>
      <c r="K155" s="125"/>
      <c r="L155" s="125"/>
      <c r="M155" s="125"/>
      <c r="N155" s="168"/>
      <c r="O155" s="125"/>
      <c r="P155" s="125"/>
      <c r="Q155" s="169"/>
      <c r="R155" s="170"/>
      <c r="S155" s="52"/>
    </row>
    <row r="156" spans="1:19" s="4" customFormat="1" ht="32.1" customHeight="1" x14ac:dyDescent="0.25">
      <c r="A156" s="905" t="s">
        <v>548</v>
      </c>
      <c r="B156" s="911">
        <v>0</v>
      </c>
      <c r="C156" s="872" t="s">
        <v>549</v>
      </c>
      <c r="D156" s="882" t="e">
        <f>E13</f>
        <v>#N/A</v>
      </c>
      <c r="E156" s="872" t="s">
        <v>422</v>
      </c>
      <c r="F156" s="872" t="s">
        <v>495</v>
      </c>
      <c r="G156" s="872">
        <f>SQRT(12)</f>
        <v>3.4641016151377544</v>
      </c>
      <c r="H156" s="882" t="e">
        <f>D156/G156</f>
        <v>#N/A</v>
      </c>
      <c r="I156" s="872" t="s">
        <v>422</v>
      </c>
      <c r="J156" s="923" t="e">
        <f>(1 - (B165/B169)) * (1/(B167 - B165)) * (1 - B171 * (B173 - B183))</f>
        <v>#N/A</v>
      </c>
      <c r="K156" s="872" t="s">
        <v>550</v>
      </c>
      <c r="L156" s="924" t="e">
        <f>H156*J156</f>
        <v>#N/A</v>
      </c>
      <c r="M156" s="872" t="s">
        <v>203</v>
      </c>
      <c r="N156" s="877" t="e">
        <f>L156^2</f>
        <v>#N/A</v>
      </c>
      <c r="O156" s="874">
        <f>0.5*(100%-99%)^-2</f>
        <v>4999.9999999999909</v>
      </c>
      <c r="P156" s="925" t="e">
        <f>L156^4</f>
        <v>#N/A</v>
      </c>
      <c r="Q156" s="926" t="e">
        <f>P156/O156</f>
        <v>#N/A</v>
      </c>
      <c r="R156" s="927" t="e">
        <f>(L156/$N$184)^2</f>
        <v>#N/A</v>
      </c>
      <c r="S156" s="52"/>
    </row>
    <row r="157" spans="1:19" s="4" customFormat="1" ht="32.1" customHeight="1" x14ac:dyDescent="0.25">
      <c r="A157" s="905" t="s">
        <v>551</v>
      </c>
      <c r="B157" s="912">
        <v>0</v>
      </c>
      <c r="C157" s="872" t="s">
        <v>552</v>
      </c>
      <c r="D157" s="171" t="e">
        <f>VLOOKUP(B155,C13:I22,7,TRUE)</f>
        <v>#N/A</v>
      </c>
      <c r="E157" s="872" t="s">
        <v>422</v>
      </c>
      <c r="F157" s="872" t="s">
        <v>553</v>
      </c>
      <c r="G157" s="874" t="e">
        <f>O16</f>
        <v>#N/A</v>
      </c>
      <c r="H157" s="882" t="e">
        <f>D157/G157</f>
        <v>#N/A</v>
      </c>
      <c r="I157" s="872" t="s">
        <v>422</v>
      </c>
      <c r="J157" s="923" t="e">
        <f>(1 - (B165/B169)) * (1/(B167 - B165)) * (1 - B171 * (B173 - B183))</f>
        <v>#N/A</v>
      </c>
      <c r="K157" s="872" t="s">
        <v>550</v>
      </c>
      <c r="L157" s="924" t="e">
        <f>H157*J157</f>
        <v>#N/A</v>
      </c>
      <c r="M157" s="872" t="s">
        <v>203</v>
      </c>
      <c r="N157" s="877" t="e">
        <f>L157^2</f>
        <v>#N/A</v>
      </c>
      <c r="O157" s="872">
        <f>0.5*(100%-95%)^-2</f>
        <v>199.99999999999966</v>
      </c>
      <c r="P157" s="925" t="e">
        <f>L157^4</f>
        <v>#N/A</v>
      </c>
      <c r="Q157" s="926" t="e">
        <f>P157/O157</f>
        <v>#N/A</v>
      </c>
      <c r="R157" s="927" t="e">
        <f>(L157/$N$184)^2</f>
        <v>#N/A</v>
      </c>
      <c r="S157" s="52"/>
    </row>
    <row r="158" spans="1:19" s="4" customFormat="1" ht="32.1" customHeight="1" x14ac:dyDescent="0.25">
      <c r="A158" s="905" t="s">
        <v>554</v>
      </c>
      <c r="B158" s="912">
        <v>0</v>
      </c>
      <c r="C158" s="872" t="s">
        <v>555</v>
      </c>
      <c r="D158" s="877" t="e">
        <f>Q18*B155</f>
        <v>#N/A</v>
      </c>
      <c r="E158" s="872" t="s">
        <v>422</v>
      </c>
      <c r="F158" s="872" t="s">
        <v>495</v>
      </c>
      <c r="G158" s="872">
        <f>SQRT(3)</f>
        <v>1.7320508075688772</v>
      </c>
      <c r="H158" s="882" t="e">
        <f>D158/G158</f>
        <v>#N/A</v>
      </c>
      <c r="I158" s="872" t="s">
        <v>422</v>
      </c>
      <c r="J158" s="923" t="e">
        <f>(1 - (B165/B169)) * (1/(B167 - B165)) * (1 - B171 * (B173 - B183))</f>
        <v>#N/A</v>
      </c>
      <c r="K158" s="872" t="s">
        <v>550</v>
      </c>
      <c r="L158" s="924" t="e">
        <f>H158*J158</f>
        <v>#N/A</v>
      </c>
      <c r="M158" s="872" t="s">
        <v>203</v>
      </c>
      <c r="N158" s="928" t="e">
        <f>L158^2</f>
        <v>#N/A</v>
      </c>
      <c r="O158" s="874">
        <f>0.5*(100%-95%)^-2</f>
        <v>199.99999999999966</v>
      </c>
      <c r="P158" s="925" t="e">
        <f>L158^4</f>
        <v>#N/A</v>
      </c>
      <c r="Q158" s="926" t="e">
        <f>P158/O158</f>
        <v>#N/A</v>
      </c>
      <c r="R158" s="927" t="e">
        <f>(L158/$N$184)^2</f>
        <v>#N/A</v>
      </c>
      <c r="S158" s="52"/>
    </row>
    <row r="159" spans="1:19" s="4" customFormat="1" ht="32.1" customHeight="1" x14ac:dyDescent="0.25">
      <c r="A159" s="905" t="s">
        <v>556</v>
      </c>
      <c r="B159" s="912">
        <v>0</v>
      </c>
      <c r="C159" s="872" t="s">
        <v>552</v>
      </c>
      <c r="D159" s="887">
        <v>0</v>
      </c>
      <c r="E159" s="872" t="s">
        <v>422</v>
      </c>
      <c r="F159" s="872" t="s">
        <v>495</v>
      </c>
      <c r="G159" s="872">
        <f>SQRT(12)</f>
        <v>3.4641016151377544</v>
      </c>
      <c r="H159" s="882">
        <f>D159/G159</f>
        <v>0</v>
      </c>
      <c r="I159" s="872" t="s">
        <v>422</v>
      </c>
      <c r="J159" s="923" t="e">
        <f>(1 - (B165/B169)) * (1/(B167 - B165)) * (1 - B171 * (B173 - B183))</f>
        <v>#N/A</v>
      </c>
      <c r="K159" s="872" t="s">
        <v>550</v>
      </c>
      <c r="L159" s="924" t="e">
        <f>H159*J159</f>
        <v>#N/A</v>
      </c>
      <c r="M159" s="872" t="s">
        <v>203</v>
      </c>
      <c r="N159" s="928" t="e">
        <f>L159^2</f>
        <v>#N/A</v>
      </c>
      <c r="O159" s="874">
        <f>0.5*(100%-95%)^-2</f>
        <v>199.99999999999966</v>
      </c>
      <c r="P159" s="925" t="e">
        <f>L159^4</f>
        <v>#N/A</v>
      </c>
      <c r="Q159" s="926" t="e">
        <f>P159/O159</f>
        <v>#N/A</v>
      </c>
      <c r="R159" s="927" t="e">
        <f>(L159/$N$184)^2</f>
        <v>#N/A</v>
      </c>
      <c r="S159" s="52"/>
    </row>
    <row r="160" spans="1:19" s="4" customFormat="1" ht="32.1" customHeight="1" x14ac:dyDescent="0.25">
      <c r="A160" s="905" t="s">
        <v>557</v>
      </c>
      <c r="B160" s="910" t="e">
        <f>AVERAGE(B92:D92)</f>
        <v>#N/A</v>
      </c>
      <c r="C160" s="167"/>
      <c r="D160" s="125"/>
      <c r="E160" s="125"/>
      <c r="F160" s="125"/>
      <c r="G160" s="125"/>
      <c r="H160" s="172"/>
      <c r="I160" s="125"/>
      <c r="J160" s="125"/>
      <c r="K160" s="125"/>
      <c r="L160" s="173"/>
      <c r="M160" s="125"/>
      <c r="N160" s="168"/>
      <c r="O160" s="125"/>
      <c r="P160" s="125"/>
      <c r="Q160" s="169"/>
      <c r="R160" s="170"/>
      <c r="S160" s="52"/>
    </row>
    <row r="161" spans="1:27" s="4" customFormat="1" ht="32.1" customHeight="1" x14ac:dyDescent="0.25">
      <c r="A161" s="905" t="s">
        <v>558</v>
      </c>
      <c r="B161" s="912">
        <v>0</v>
      </c>
      <c r="C161" s="872" t="s">
        <v>549</v>
      </c>
      <c r="D161" s="882" t="e">
        <f>E13</f>
        <v>#N/A</v>
      </c>
      <c r="E161" s="872" t="s">
        <v>422</v>
      </c>
      <c r="F161" s="872" t="s">
        <v>495</v>
      </c>
      <c r="G161" s="872">
        <f>SQRT(12)</f>
        <v>3.4641016151377544</v>
      </c>
      <c r="H161" s="882" t="e">
        <f>D161/G161</f>
        <v>#N/A</v>
      </c>
      <c r="I161" s="872" t="s">
        <v>422</v>
      </c>
      <c r="J161" s="923" t="e">
        <f>-((1 - (B165/B169)) * (1/(B167 - B165)) * (1 - B171 * (B173 -
    B183)))</f>
        <v>#N/A</v>
      </c>
      <c r="K161" s="872" t="s">
        <v>550</v>
      </c>
      <c r="L161" s="924" t="e">
        <f>H161*J161</f>
        <v>#N/A</v>
      </c>
      <c r="M161" s="872" t="s">
        <v>203</v>
      </c>
      <c r="N161" s="928" t="e">
        <f>L161^2</f>
        <v>#N/A</v>
      </c>
      <c r="O161" s="874">
        <f>0.5*(100%-99%)^-2</f>
        <v>4999.9999999999909</v>
      </c>
      <c r="P161" s="925" t="e">
        <f>L161^4</f>
        <v>#N/A</v>
      </c>
      <c r="Q161" s="926" t="e">
        <f>P161/O161</f>
        <v>#N/A</v>
      </c>
      <c r="R161" s="927" t="e">
        <f>(L161/$N$184)^2</f>
        <v>#N/A</v>
      </c>
      <c r="S161" s="52"/>
      <c r="T161" s="1201"/>
      <c r="U161" s="1201"/>
      <c r="V161" s="1201"/>
      <c r="W161" s="1201"/>
      <c r="X161" s="1201"/>
      <c r="Y161" s="1201"/>
      <c r="Z161" s="1201"/>
      <c r="AA161" s="1201"/>
    </row>
    <row r="162" spans="1:27" s="4" customFormat="1" ht="32.1" customHeight="1" x14ac:dyDescent="0.25">
      <c r="A162" s="905" t="s">
        <v>551</v>
      </c>
      <c r="B162" s="912">
        <v>0</v>
      </c>
      <c r="C162" s="872" t="s">
        <v>552</v>
      </c>
      <c r="D162" s="171" t="e">
        <f>VLOOKUP(B160,C13:I22,7,TRUE)</f>
        <v>#N/A</v>
      </c>
      <c r="E162" s="872" t="s">
        <v>422</v>
      </c>
      <c r="F162" s="872" t="s">
        <v>553</v>
      </c>
      <c r="G162" s="874" t="e">
        <f>O14</f>
        <v>#N/A</v>
      </c>
      <c r="H162" s="882" t="e">
        <f>D162/G162</f>
        <v>#N/A</v>
      </c>
      <c r="I162" s="872" t="s">
        <v>422</v>
      </c>
      <c r="J162" s="923" t="e">
        <f>-((1 - (B165/B169)) * (1/(B167 - B165)) * (1 - B171 * (B173 -
    B183)))</f>
        <v>#N/A</v>
      </c>
      <c r="K162" s="872" t="s">
        <v>550</v>
      </c>
      <c r="L162" s="924" t="e">
        <f>H162*J162</f>
        <v>#N/A</v>
      </c>
      <c r="M162" s="872" t="s">
        <v>203</v>
      </c>
      <c r="N162" s="928" t="e">
        <f>L162^2</f>
        <v>#N/A</v>
      </c>
      <c r="O162" s="872">
        <f>0.5*(100%-95%)^-2</f>
        <v>199.99999999999966</v>
      </c>
      <c r="P162" s="925" t="e">
        <f>L162^4</f>
        <v>#N/A</v>
      </c>
      <c r="Q162" s="926" t="e">
        <f>P162/O162</f>
        <v>#N/A</v>
      </c>
      <c r="R162" s="927" t="e">
        <f>(L162/$N$184)^2</f>
        <v>#N/A</v>
      </c>
      <c r="S162" s="52"/>
      <c r="T162" s="1201"/>
      <c r="U162" s="1201"/>
      <c r="V162" s="1201"/>
      <c r="W162" s="1201"/>
      <c r="X162" s="1201"/>
      <c r="Y162" s="1201"/>
      <c r="Z162" s="1201"/>
      <c r="AA162" s="1201"/>
    </row>
    <row r="163" spans="1:27" s="4" customFormat="1" ht="32.1" customHeight="1" x14ac:dyDescent="0.25">
      <c r="A163" s="905" t="s">
        <v>554</v>
      </c>
      <c r="B163" s="912">
        <v>0</v>
      </c>
      <c r="C163" s="872" t="s">
        <v>555</v>
      </c>
      <c r="D163" s="872" t="e">
        <f>Q18*B160</f>
        <v>#N/A</v>
      </c>
      <c r="E163" s="872" t="s">
        <v>422</v>
      </c>
      <c r="F163" s="872" t="s">
        <v>495</v>
      </c>
      <c r="G163" s="872">
        <f>SQRT(3)</f>
        <v>1.7320508075688772</v>
      </c>
      <c r="H163" s="882" t="e">
        <f>D163/G163</f>
        <v>#N/A</v>
      </c>
      <c r="I163" s="872" t="s">
        <v>422</v>
      </c>
      <c r="J163" s="923" t="e">
        <f>-((1 - (B165/B169)) * (1/(B167 - B165)) * (1 - B171 * (B173 -
    B183)))</f>
        <v>#N/A</v>
      </c>
      <c r="K163" s="872" t="s">
        <v>550</v>
      </c>
      <c r="L163" s="924" t="e">
        <f>H163*J163</f>
        <v>#N/A</v>
      </c>
      <c r="M163" s="872" t="s">
        <v>203</v>
      </c>
      <c r="N163" s="928" t="e">
        <f>L163^2</f>
        <v>#N/A</v>
      </c>
      <c r="O163" s="874">
        <f>0.5*(100%-95%)^-2</f>
        <v>199.99999999999966</v>
      </c>
      <c r="P163" s="925" t="e">
        <f>L163^4</f>
        <v>#N/A</v>
      </c>
      <c r="Q163" s="926" t="e">
        <f>P163/O163</f>
        <v>#N/A</v>
      </c>
      <c r="R163" s="927" t="e">
        <f>(L163/$N$184)^2</f>
        <v>#N/A</v>
      </c>
      <c r="S163" s="52"/>
      <c r="T163" s="1201"/>
      <c r="U163" s="1201"/>
      <c r="V163" s="1201"/>
      <c r="W163" s="1201"/>
      <c r="X163" s="1201"/>
      <c r="Y163" s="1201"/>
      <c r="Z163" s="1201"/>
      <c r="AA163" s="1201"/>
    </row>
    <row r="164" spans="1:27" s="52" customFormat="1" ht="32.1" customHeight="1" x14ac:dyDescent="0.25">
      <c r="A164" s="905" t="s">
        <v>559</v>
      </c>
      <c r="B164" s="912">
        <v>0</v>
      </c>
      <c r="C164" s="872" t="s">
        <v>560</v>
      </c>
      <c r="D164" s="882">
        <v>0.24</v>
      </c>
      <c r="E164" s="872" t="s">
        <v>203</v>
      </c>
      <c r="F164" s="872" t="s">
        <v>553</v>
      </c>
      <c r="G164" s="872">
        <v>1</v>
      </c>
      <c r="H164" s="882">
        <f>D164/G164</f>
        <v>0.24</v>
      </c>
      <c r="I164" s="872" t="s">
        <v>203</v>
      </c>
      <c r="J164" s="874">
        <v>1</v>
      </c>
      <c r="K164" s="872" t="s">
        <v>203</v>
      </c>
      <c r="L164" s="882">
        <f>H164*J164</f>
        <v>0.24</v>
      </c>
      <c r="M164" s="872" t="s">
        <v>203</v>
      </c>
      <c r="N164" s="928">
        <f>L164^2</f>
        <v>5.7599999999999998E-2</v>
      </c>
      <c r="O164" s="874">
        <f>0.5*(100%-95%)^-2</f>
        <v>199.99999999999966</v>
      </c>
      <c r="P164" s="925">
        <f>L164^4</f>
        <v>3.3177599999999999E-3</v>
      </c>
      <c r="Q164" s="926">
        <f>P164/O164</f>
        <v>1.6588800000000027E-5</v>
      </c>
      <c r="R164" s="927" t="e">
        <f>(L164/$N$184)^2</f>
        <v>#N/A</v>
      </c>
    </row>
    <row r="165" spans="1:27" s="4" customFormat="1" ht="32.1" customHeight="1" x14ac:dyDescent="0.25">
      <c r="A165" s="905" t="s">
        <v>561</v>
      </c>
      <c r="B165" s="913" t="e">
        <f>AVERAGE(B73:D73)</f>
        <v>#N/A</v>
      </c>
      <c r="C165" s="125"/>
      <c r="D165" s="125"/>
      <c r="E165" s="125"/>
      <c r="F165" s="125"/>
      <c r="G165" s="125"/>
      <c r="H165" s="172"/>
      <c r="I165" s="125"/>
      <c r="J165" s="125"/>
      <c r="K165" s="125"/>
      <c r="L165" s="173"/>
      <c r="M165" s="125"/>
      <c r="N165" s="168"/>
      <c r="O165" s="125"/>
      <c r="P165" s="125"/>
      <c r="Q165" s="169"/>
      <c r="R165" s="170"/>
      <c r="S165" s="52"/>
      <c r="T165" s="1201"/>
      <c r="U165" s="1201"/>
      <c r="V165" s="1201"/>
      <c r="W165" s="1201"/>
      <c r="X165" s="1201"/>
      <c r="Y165" s="1201"/>
      <c r="Z165" s="1201"/>
      <c r="AA165" s="1201"/>
    </row>
    <row r="166" spans="1:27" s="4" customFormat="1" ht="32.1" customHeight="1" x14ac:dyDescent="0.25">
      <c r="A166" s="905" t="s">
        <v>562</v>
      </c>
      <c r="B166" s="912">
        <v>0</v>
      </c>
      <c r="C166" s="872" t="s">
        <v>563</v>
      </c>
      <c r="D166" s="877" t="e">
        <f>N128</f>
        <v>#N/A</v>
      </c>
      <c r="E166" s="872" t="s">
        <v>419</v>
      </c>
      <c r="F166" s="872" t="s">
        <v>553</v>
      </c>
      <c r="G166" s="872">
        <v>1</v>
      </c>
      <c r="H166" s="923" t="e">
        <f>D166/G166</f>
        <v>#N/A</v>
      </c>
      <c r="I166" s="872" t="s">
        <v>419</v>
      </c>
      <c r="J166" s="924" t="e">
        <f>((B155 - B160) * (1 - (B165/B169)) * (1/(B167 - B165)^2) - (B155 -
    B160) * (1/B169) * (1/(B167 - B165))) * (1 - B171 * (B173 -
    B183))</f>
        <v>#N/A</v>
      </c>
      <c r="K166" s="872" t="s">
        <v>564</v>
      </c>
      <c r="L166" s="924" t="e">
        <f>H166*J166</f>
        <v>#N/A</v>
      </c>
      <c r="M166" s="872" t="s">
        <v>203</v>
      </c>
      <c r="N166" s="928" t="e">
        <f>L166^2</f>
        <v>#N/A</v>
      </c>
      <c r="O166" s="874">
        <f>0.5*(100%-95%)^-2</f>
        <v>199.99999999999966</v>
      </c>
      <c r="P166" s="925" t="e">
        <f>L166^4</f>
        <v>#N/A</v>
      </c>
      <c r="Q166" s="926" t="e">
        <f>P166/O166</f>
        <v>#N/A</v>
      </c>
      <c r="R166" s="927" t="e">
        <f>(L166/$N$184)^2</f>
        <v>#N/A</v>
      </c>
      <c r="S166" s="52"/>
      <c r="T166" s="1201"/>
      <c r="U166" s="1201"/>
      <c r="V166" s="1201"/>
      <c r="W166" s="1201"/>
      <c r="X166" s="1201"/>
      <c r="Y166" s="1201"/>
      <c r="Z166" s="1201"/>
      <c r="AA166" s="1201"/>
    </row>
    <row r="167" spans="1:27" s="4" customFormat="1" ht="32.1" customHeight="1" x14ac:dyDescent="0.25">
      <c r="A167" s="905" t="s">
        <v>565</v>
      </c>
      <c r="B167" s="914" t="e">
        <f>AVERAGE(B77:D77)</f>
        <v>#VALUE!</v>
      </c>
      <c r="C167" s="125"/>
      <c r="D167" s="125"/>
      <c r="E167" s="125"/>
      <c r="F167" s="125"/>
      <c r="G167" s="125"/>
      <c r="H167" s="172"/>
      <c r="I167" s="125"/>
      <c r="J167" s="125"/>
      <c r="K167" s="125"/>
      <c r="L167" s="173"/>
      <c r="M167" s="125"/>
      <c r="N167" s="168"/>
      <c r="O167" s="125"/>
      <c r="P167" s="125"/>
      <c r="Q167" s="169"/>
      <c r="R167" s="170"/>
      <c r="S167" s="52"/>
      <c r="T167" s="1201"/>
      <c r="U167" s="1201"/>
      <c r="V167" s="1201"/>
      <c r="W167" s="1201"/>
      <c r="X167" s="1201"/>
      <c r="Y167" s="1201"/>
      <c r="Z167" s="1201"/>
      <c r="AA167" s="1201"/>
    </row>
    <row r="168" spans="1:27" s="4" customFormat="1" ht="32.1" customHeight="1" x14ac:dyDescent="0.25">
      <c r="A168" s="905" t="s">
        <v>566</v>
      </c>
      <c r="B168" s="911">
        <v>0</v>
      </c>
      <c r="C168" s="872" t="s">
        <v>526</v>
      </c>
      <c r="D168" s="877" t="e">
        <f>N147</f>
        <v>#DIV/0!</v>
      </c>
      <c r="E168" s="872" t="s">
        <v>419</v>
      </c>
      <c r="F168" s="872" t="s">
        <v>553</v>
      </c>
      <c r="G168" s="872">
        <v>1</v>
      </c>
      <c r="H168" s="876" t="e">
        <f>D168/G168</f>
        <v>#DIV/0!</v>
      </c>
      <c r="I168" s="872" t="s">
        <v>419</v>
      </c>
      <c r="J168" s="924" t="e">
        <f>-((B155 - B160) * (1 - (B165/B169)) * (1/(B167 - B165)^2) * (1 -
    B171 * (B173 - B183)))</f>
        <v>#N/A</v>
      </c>
      <c r="K168" s="872" t="s">
        <v>564</v>
      </c>
      <c r="L168" s="924" t="e">
        <f>H168*J168</f>
        <v>#DIV/0!</v>
      </c>
      <c r="M168" s="872" t="s">
        <v>203</v>
      </c>
      <c r="N168" s="928" t="e">
        <f>L168^2</f>
        <v>#DIV/0!</v>
      </c>
      <c r="O168" s="874">
        <f>0.5*(100%-95%)^-2</f>
        <v>199.99999999999966</v>
      </c>
      <c r="P168" s="925" t="e">
        <f>L168^4</f>
        <v>#DIV/0!</v>
      </c>
      <c r="Q168" s="926" t="e">
        <f>P168/O168</f>
        <v>#DIV/0!</v>
      </c>
      <c r="R168" s="927" t="e">
        <f>(L168/$N$184)^2</f>
        <v>#DIV/0!</v>
      </c>
      <c r="S168" s="52"/>
      <c r="T168" s="1201"/>
      <c r="U168" s="1201"/>
      <c r="V168" s="1201"/>
      <c r="W168" s="1201"/>
      <c r="X168" s="1201"/>
      <c r="Y168" s="1201"/>
      <c r="Z168" s="1201"/>
      <c r="AA168" s="1201"/>
    </row>
    <row r="169" spans="1:27" s="3" customFormat="1" ht="32.1" customHeight="1" x14ac:dyDescent="0.25">
      <c r="A169" s="905" t="s">
        <v>567</v>
      </c>
      <c r="B169" s="915" t="e">
        <f>C7</f>
        <v>#N/A</v>
      </c>
      <c r="C169" s="125"/>
      <c r="D169" s="125"/>
      <c r="E169" s="125"/>
      <c r="F169" s="125"/>
      <c r="G169" s="125"/>
      <c r="H169" s="172"/>
      <c r="I169" s="125"/>
      <c r="J169" s="125"/>
      <c r="K169" s="125"/>
      <c r="L169" s="173"/>
      <c r="M169" s="125"/>
      <c r="N169" s="168"/>
      <c r="O169" s="125"/>
      <c r="P169" s="125"/>
      <c r="Q169" s="169"/>
      <c r="R169" s="170"/>
      <c r="S169" s="53"/>
      <c r="T169" s="1182"/>
      <c r="U169" s="1182"/>
      <c r="V169" s="43"/>
      <c r="W169" s="43"/>
      <c r="X169" s="1182"/>
      <c r="Y169" s="1182"/>
      <c r="Z169" s="1182"/>
      <c r="AA169" s="1182"/>
    </row>
    <row r="170" spans="1:27" s="3" customFormat="1" ht="32.1" customHeight="1" x14ac:dyDescent="0.25">
      <c r="A170" s="905" t="s">
        <v>568</v>
      </c>
      <c r="B170" s="912">
        <v>0</v>
      </c>
      <c r="C170" s="872" t="s">
        <v>569</v>
      </c>
      <c r="D170" s="887">
        <v>0.14000000000000001</v>
      </c>
      <c r="E170" s="872" t="s">
        <v>419</v>
      </c>
      <c r="F170" s="872" t="s">
        <v>553</v>
      </c>
      <c r="G170" s="872" t="e">
        <f>O7</f>
        <v>#N/A</v>
      </c>
      <c r="H170" s="887" t="e">
        <f>D170/G170</f>
        <v>#N/A</v>
      </c>
      <c r="I170" s="872" t="s">
        <v>419</v>
      </c>
      <c r="J170" s="929" t="e">
        <f>(B155 - B160) * (B165/B169^2) * (1/(B167 - B165)) * (1 - B171 *
    (B173 - B183))</f>
        <v>#N/A</v>
      </c>
      <c r="K170" s="872" t="s">
        <v>564</v>
      </c>
      <c r="L170" s="924" t="e">
        <f>H170*J170</f>
        <v>#N/A</v>
      </c>
      <c r="M170" s="872" t="s">
        <v>203</v>
      </c>
      <c r="N170" s="928" t="e">
        <f>L170^2</f>
        <v>#N/A</v>
      </c>
      <c r="O170" s="874">
        <f>0.5*(100%-95%)^-2</f>
        <v>199.99999999999966</v>
      </c>
      <c r="P170" s="925" t="e">
        <f>L170^4</f>
        <v>#N/A</v>
      </c>
      <c r="Q170" s="926" t="e">
        <f>P170/O170</f>
        <v>#N/A</v>
      </c>
      <c r="R170" s="927" t="e">
        <f>(L170/$N$184)^2</f>
        <v>#N/A</v>
      </c>
      <c r="S170" s="53"/>
      <c r="T170" s="1182"/>
      <c r="U170" s="1182"/>
      <c r="V170" s="1182"/>
      <c r="W170" s="1182"/>
      <c r="X170" s="1182"/>
      <c r="Y170" s="1182"/>
      <c r="Z170" s="1182"/>
      <c r="AA170" s="1182"/>
    </row>
    <row r="171" spans="1:27" s="3" customFormat="1" ht="32.1" customHeight="1" x14ac:dyDescent="0.25">
      <c r="A171" s="905" t="s">
        <v>570</v>
      </c>
      <c r="B171" s="916" t="e">
        <f>C48</f>
        <v>#N/A</v>
      </c>
      <c r="C171" s="167"/>
      <c r="D171" s="125"/>
      <c r="E171" s="125"/>
      <c r="F171" s="125"/>
      <c r="G171" s="125"/>
      <c r="H171" s="172"/>
      <c r="I171" s="125"/>
      <c r="J171" s="125"/>
      <c r="K171" s="125"/>
      <c r="L171" s="173"/>
      <c r="M171" s="125"/>
      <c r="N171" s="168"/>
      <c r="O171" s="125"/>
      <c r="P171" s="125"/>
      <c r="Q171" s="169"/>
      <c r="R171" s="170"/>
      <c r="S171" s="53"/>
      <c r="T171" s="1182"/>
      <c r="U171" s="1182"/>
      <c r="V171" s="1182"/>
      <c r="W171" s="1182"/>
      <c r="X171" s="1182"/>
      <c r="Y171" s="1182"/>
      <c r="Z171" s="1182"/>
      <c r="AA171" s="1182"/>
    </row>
    <row r="172" spans="1:27" s="3" customFormat="1" ht="32.1" customHeight="1" x14ac:dyDescent="0.25">
      <c r="A172" s="905" t="s">
        <v>571</v>
      </c>
      <c r="B172" s="912">
        <v>0</v>
      </c>
      <c r="C172" s="872" t="s">
        <v>24</v>
      </c>
      <c r="D172" s="873" t="e">
        <f>B171*5%</f>
        <v>#N/A</v>
      </c>
      <c r="E172" s="872" t="s">
        <v>205</v>
      </c>
      <c r="F172" s="872" t="s">
        <v>495</v>
      </c>
      <c r="G172" s="872">
        <f>SQRT(3)</f>
        <v>1.7320508075688772</v>
      </c>
      <c r="H172" s="923" t="e">
        <f>D172/G172</f>
        <v>#N/A</v>
      </c>
      <c r="I172" s="872" t="s">
        <v>205</v>
      </c>
      <c r="J172" s="882" t="e">
        <f>-((B155 - B160) * (1 - (B165/B169)) * (1/(B167 - B165)) * (B173 -
    B183))</f>
        <v>#N/A</v>
      </c>
      <c r="K172" s="872" t="s">
        <v>572</v>
      </c>
      <c r="L172" s="924" t="e">
        <f>H172*J172</f>
        <v>#N/A</v>
      </c>
      <c r="M172" s="872" t="s">
        <v>203</v>
      </c>
      <c r="N172" s="928" t="e">
        <f>L172^2</f>
        <v>#N/A</v>
      </c>
      <c r="O172" s="874">
        <f>0.5*(100%-95%)^-2</f>
        <v>199.99999999999966</v>
      </c>
      <c r="P172" s="925" t="e">
        <f>L172^4</f>
        <v>#N/A</v>
      </c>
      <c r="Q172" s="926" t="e">
        <f>P172/O172</f>
        <v>#N/A</v>
      </c>
      <c r="R172" s="927" t="e">
        <f>(L172/$N$184)^2</f>
        <v>#N/A</v>
      </c>
      <c r="S172" s="53"/>
      <c r="T172" s="1182"/>
      <c r="U172" s="1182"/>
      <c r="V172" s="1182"/>
      <c r="W172" s="1182"/>
      <c r="X172" s="1182"/>
      <c r="Y172" s="1182"/>
      <c r="Z172" s="1182"/>
      <c r="AA172" s="1182"/>
    </row>
    <row r="173" spans="1:27" s="4" customFormat="1" ht="32.1" customHeight="1" x14ac:dyDescent="0.25">
      <c r="A173" s="905" t="s">
        <v>573</v>
      </c>
      <c r="B173" s="917" t="e">
        <f>AVERAGE(B88:D88)</f>
        <v>#DIV/0!</v>
      </c>
      <c r="C173" s="125"/>
      <c r="D173" s="129"/>
      <c r="E173" s="129"/>
      <c r="F173" s="125"/>
      <c r="G173" s="125"/>
      <c r="H173" s="172"/>
      <c r="I173" s="129"/>
      <c r="J173" s="125"/>
      <c r="K173" s="125"/>
      <c r="L173" s="173"/>
      <c r="M173" s="125"/>
      <c r="N173" s="168"/>
      <c r="O173" s="125"/>
      <c r="P173" s="125"/>
      <c r="Q173" s="169"/>
      <c r="R173" s="170"/>
      <c r="S173" s="53"/>
      <c r="T173" s="1182"/>
      <c r="U173" s="1182"/>
      <c r="V173" s="44"/>
      <c r="W173" s="44"/>
      <c r="X173" s="44"/>
      <c r="Y173" s="44"/>
      <c r="Z173" s="44"/>
      <c r="AA173" s="44"/>
    </row>
    <row r="174" spans="1:27" s="3" customFormat="1" ht="32.1" customHeight="1" x14ac:dyDescent="0.25">
      <c r="A174" s="905" t="s">
        <v>574</v>
      </c>
      <c r="B174" s="911">
        <v>0</v>
      </c>
      <c r="C174" s="872" t="s">
        <v>490</v>
      </c>
      <c r="D174" s="887" t="str">
        <f>E8</f>
        <v>N/A</v>
      </c>
      <c r="E174" s="872" t="s">
        <v>35</v>
      </c>
      <c r="F174" s="872" t="s">
        <v>495</v>
      </c>
      <c r="G174" s="872">
        <f>SQRT(12)</f>
        <v>3.4641016151377544</v>
      </c>
      <c r="H174" s="873" t="e">
        <f t="shared" ref="H174:H182" si="6">D174/G174</f>
        <v>#VALUE!</v>
      </c>
      <c r="I174" s="872" t="s">
        <v>35</v>
      </c>
      <c r="J174" s="872" t="e">
        <f>-((B155 - B160) * (1 - (B165/B169)) * (1/(B167 - B165)) * B171)</f>
        <v>#N/A</v>
      </c>
      <c r="K174" s="872" t="s">
        <v>575</v>
      </c>
      <c r="L174" s="924" t="e">
        <f>J174*H174</f>
        <v>#N/A</v>
      </c>
      <c r="M174" s="872" t="s">
        <v>203</v>
      </c>
      <c r="N174" s="877" t="e">
        <f t="shared" ref="N174:N182" si="7">L174^2</f>
        <v>#N/A</v>
      </c>
      <c r="O174" s="874">
        <f>0.5*(100%-99%)^-2</f>
        <v>4999.9999999999909</v>
      </c>
      <c r="P174" s="877" t="e">
        <f t="shared" ref="P174:P182" si="8">L174^4</f>
        <v>#N/A</v>
      </c>
      <c r="Q174" s="926" t="e">
        <f t="shared" ref="Q174:Q182" si="9">P174/O174</f>
        <v>#N/A</v>
      </c>
      <c r="R174" s="927" t="e">
        <f t="shared" ref="R174:R182" si="10">(L174/$N$184)^2</f>
        <v>#N/A</v>
      </c>
      <c r="S174" s="53"/>
      <c r="T174" s="1182"/>
      <c r="U174" s="1182"/>
      <c r="V174" s="1684"/>
      <c r="W174" s="1684"/>
      <c r="X174" s="1684"/>
      <c r="Y174" s="1182"/>
      <c r="Z174" s="1182"/>
      <c r="AA174" s="1182"/>
    </row>
    <row r="175" spans="1:27" s="3" customFormat="1" ht="32.1" customHeight="1" x14ac:dyDescent="0.25">
      <c r="A175" s="905" t="s">
        <v>576</v>
      </c>
      <c r="B175" s="911">
        <v>0</v>
      </c>
      <c r="C175" s="872" t="s">
        <v>577</v>
      </c>
      <c r="D175" s="930" t="str">
        <f>I12</f>
        <v>N/A</v>
      </c>
      <c r="E175" s="872" t="s">
        <v>35</v>
      </c>
      <c r="F175" s="872" t="s">
        <v>578</v>
      </c>
      <c r="G175" s="874" t="str">
        <f>O8</f>
        <v>N/A</v>
      </c>
      <c r="H175" s="873" t="e">
        <f t="shared" si="6"/>
        <v>#VALUE!</v>
      </c>
      <c r="I175" s="872" t="s">
        <v>35</v>
      </c>
      <c r="J175" s="872" t="e">
        <f>-((B155 - B160) * (1 - (B165/B169)) * (1/(B167 - B165)) * B171)</f>
        <v>#N/A</v>
      </c>
      <c r="K175" s="872" t="s">
        <v>575</v>
      </c>
      <c r="L175" s="924" t="e">
        <f>J175*H175</f>
        <v>#N/A</v>
      </c>
      <c r="M175" s="872" t="s">
        <v>203</v>
      </c>
      <c r="N175" s="877" t="e">
        <f t="shared" si="7"/>
        <v>#N/A</v>
      </c>
      <c r="O175" s="874">
        <f>0.5*(100%-95%)^-2</f>
        <v>199.99999999999966</v>
      </c>
      <c r="P175" s="877" t="e">
        <f t="shared" si="8"/>
        <v>#N/A</v>
      </c>
      <c r="Q175" s="926" t="e">
        <f>P175/O175</f>
        <v>#N/A</v>
      </c>
      <c r="R175" s="927" t="e">
        <f t="shared" si="10"/>
        <v>#N/A</v>
      </c>
      <c r="S175" s="53"/>
      <c r="T175" s="1182"/>
      <c r="U175" s="1182"/>
      <c r="V175" s="1679"/>
      <c r="W175" s="1679"/>
      <c r="X175" s="1679"/>
      <c r="Y175" s="1182"/>
      <c r="Z175" s="1182"/>
      <c r="AA175" s="1182"/>
    </row>
    <row r="176" spans="1:27" ht="32.1" customHeight="1" x14ac:dyDescent="0.2">
      <c r="A176" s="905" t="s">
        <v>579</v>
      </c>
      <c r="B176" s="911">
        <v>0</v>
      </c>
      <c r="C176" s="872" t="s">
        <v>580</v>
      </c>
      <c r="D176" s="931" t="e">
        <f>VLOOKUP(B173,C8:K12,9,TRUE)</f>
        <v>#DIV/0!</v>
      </c>
      <c r="E176" s="872" t="s">
        <v>35</v>
      </c>
      <c r="F176" s="872" t="s">
        <v>581</v>
      </c>
      <c r="G176" s="872">
        <f>SQRT(12)</f>
        <v>3.4641016151377544</v>
      </c>
      <c r="H176" s="873" t="e">
        <f t="shared" si="6"/>
        <v>#DIV/0!</v>
      </c>
      <c r="I176" s="872" t="s">
        <v>35</v>
      </c>
      <c r="J176" s="872" t="e">
        <f>-((B155 - B160) * (1 - (B165/B169)) * (1/(B167 - B165)) * B171)</f>
        <v>#N/A</v>
      </c>
      <c r="K176" s="872" t="s">
        <v>575</v>
      </c>
      <c r="L176" s="924" t="e">
        <f>J176*H176</f>
        <v>#N/A</v>
      </c>
      <c r="M176" s="872" t="s">
        <v>203</v>
      </c>
      <c r="N176" s="877" t="e">
        <f>L176^2</f>
        <v>#N/A</v>
      </c>
      <c r="O176" s="874">
        <f>0.5*(100%-95%)^-2</f>
        <v>199.99999999999966</v>
      </c>
      <c r="P176" s="877" t="e">
        <f>L176^4</f>
        <v>#N/A</v>
      </c>
      <c r="Q176" s="926" t="e">
        <f t="shared" si="9"/>
        <v>#N/A</v>
      </c>
      <c r="R176" s="927" t="e">
        <f t="shared" si="10"/>
        <v>#N/A</v>
      </c>
      <c r="S176" s="51"/>
      <c r="T176" s="1202"/>
      <c r="U176" s="1202"/>
      <c r="V176" s="1202"/>
      <c r="W176" s="1202"/>
      <c r="X176" s="1202"/>
      <c r="Y176" s="1202"/>
      <c r="Z176" s="1202"/>
      <c r="AA176" s="1202"/>
    </row>
    <row r="177" spans="1:19" ht="32.1" customHeight="1" x14ac:dyDescent="0.2">
      <c r="A177" s="905" t="s">
        <v>582</v>
      </c>
      <c r="B177" s="911">
        <v>0</v>
      </c>
      <c r="C177" s="872" t="s">
        <v>583</v>
      </c>
      <c r="D177" s="924">
        <f>MAX(B88:D88)- MIN(B88:D88)</f>
        <v>0</v>
      </c>
      <c r="E177" s="872" t="s">
        <v>35</v>
      </c>
      <c r="F177" s="872" t="s">
        <v>495</v>
      </c>
      <c r="G177" s="872">
        <f>SQRT(12)</f>
        <v>3.4641016151377544</v>
      </c>
      <c r="H177" s="873">
        <f t="shared" si="6"/>
        <v>0</v>
      </c>
      <c r="I177" s="872" t="s">
        <v>35</v>
      </c>
      <c r="J177" s="872" t="e">
        <f>-((B155 - B160) * (1 - (B165/B169)) * (1/(B167 - B165)) * B171)</f>
        <v>#N/A</v>
      </c>
      <c r="K177" s="872" t="s">
        <v>575</v>
      </c>
      <c r="L177" s="924" t="e">
        <f>J177*H177</f>
        <v>#N/A</v>
      </c>
      <c r="M177" s="872" t="s">
        <v>203</v>
      </c>
      <c r="N177" s="877" t="e">
        <f>L177^2</f>
        <v>#N/A</v>
      </c>
      <c r="O177" s="874">
        <f>0.5*(100%-95%)^-2</f>
        <v>199.99999999999966</v>
      </c>
      <c r="P177" s="877" t="e">
        <f>L177^4</f>
        <v>#N/A</v>
      </c>
      <c r="Q177" s="926" t="e">
        <f t="shared" si="9"/>
        <v>#N/A</v>
      </c>
      <c r="R177" s="927" t="e">
        <f t="shared" si="10"/>
        <v>#N/A</v>
      </c>
      <c r="S177" s="51"/>
    </row>
    <row r="178" spans="1:19" ht="32.1" customHeight="1" x14ac:dyDescent="0.2">
      <c r="A178" s="905" t="s">
        <v>584</v>
      </c>
      <c r="B178" s="912">
        <v>0</v>
      </c>
      <c r="C178" s="872" t="s">
        <v>585</v>
      </c>
      <c r="D178" s="881" t="e">
        <f>MAX(B67:D67)-MAX(B88:D88)</f>
        <v>#N/A</v>
      </c>
      <c r="E178" s="872" t="s">
        <v>35</v>
      </c>
      <c r="F178" s="872" t="s">
        <v>495</v>
      </c>
      <c r="G178" s="872">
        <f>SQRT(12)</f>
        <v>3.4641016151377544</v>
      </c>
      <c r="H178" s="873" t="e">
        <f t="shared" si="6"/>
        <v>#N/A</v>
      </c>
      <c r="I178" s="872" t="s">
        <v>35</v>
      </c>
      <c r="J178" s="872" t="e">
        <f>-((B155 - B160) * (1 - (B165/B169)) * (1/(B167 - B165)) * B171)</f>
        <v>#N/A</v>
      </c>
      <c r="K178" s="872" t="s">
        <v>575</v>
      </c>
      <c r="L178" s="924" t="e">
        <f>H178*J178</f>
        <v>#N/A</v>
      </c>
      <c r="M178" s="872" t="s">
        <v>203</v>
      </c>
      <c r="N178" s="877" t="e">
        <f t="shared" si="7"/>
        <v>#N/A</v>
      </c>
      <c r="O178" s="874">
        <f>0.5*(100%-95%)^-2</f>
        <v>199.99999999999966</v>
      </c>
      <c r="P178" s="925" t="e">
        <f t="shared" si="8"/>
        <v>#N/A</v>
      </c>
      <c r="Q178" s="926" t="e">
        <f t="shared" si="9"/>
        <v>#N/A</v>
      </c>
      <c r="R178" s="932" t="e">
        <f t="shared" si="10"/>
        <v>#N/A</v>
      </c>
      <c r="S178" s="51"/>
    </row>
    <row r="179" spans="1:19" ht="32.1" customHeight="1" x14ac:dyDescent="0.2">
      <c r="A179" s="905" t="s">
        <v>586</v>
      </c>
      <c r="B179" s="912">
        <v>0</v>
      </c>
      <c r="C179" s="872" t="s">
        <v>583</v>
      </c>
      <c r="D179" s="882" t="e">
        <f>_xlfn.STDEV.S(B98:D98)</f>
        <v>#N/A</v>
      </c>
      <c r="E179" s="872" t="s">
        <v>587</v>
      </c>
      <c r="F179" s="872" t="s">
        <v>578</v>
      </c>
      <c r="G179" s="872">
        <f>SQRT(3)</f>
        <v>1.7320508075688772</v>
      </c>
      <c r="H179" s="873" t="e">
        <f t="shared" si="6"/>
        <v>#N/A</v>
      </c>
      <c r="I179" s="872" t="s">
        <v>587</v>
      </c>
      <c r="J179" s="872">
        <v>1</v>
      </c>
      <c r="K179" s="872" t="s">
        <v>203</v>
      </c>
      <c r="L179" s="924" t="e">
        <f>H179*J179</f>
        <v>#N/A</v>
      </c>
      <c r="M179" s="872" t="s">
        <v>203</v>
      </c>
      <c r="N179" s="877" t="e">
        <f t="shared" si="7"/>
        <v>#N/A</v>
      </c>
      <c r="O179" s="872">
        <v>2</v>
      </c>
      <c r="P179" s="925" t="e">
        <f>L179^4</f>
        <v>#N/A</v>
      </c>
      <c r="Q179" s="926" t="e">
        <f t="shared" si="9"/>
        <v>#N/A</v>
      </c>
      <c r="R179" s="933" t="e">
        <f t="shared" si="10"/>
        <v>#N/A</v>
      </c>
      <c r="S179" s="51"/>
    </row>
    <row r="180" spans="1:19" ht="32.1" customHeight="1" x14ac:dyDescent="0.2">
      <c r="A180" s="905" t="s">
        <v>588</v>
      </c>
      <c r="B180" s="912">
        <v>0</v>
      </c>
      <c r="C180" s="872" t="s">
        <v>589</v>
      </c>
      <c r="D180" s="882" t="e">
        <f>IF(C45=5,(2*PI()*1.5^2*0.025)/4+(2*PI()*C49^2*0.025)/4,IF(C45=0.5,(2*PI()*C49^2*0.025)/4,IF(C45=20,(2*PI()*1.5^2*0.025)/4+(2*PI()*C49^2*0.025)/4,IF(C45=2,((2*PI()*C49^2*0.025)/4)))))</f>
        <v>#N/A</v>
      </c>
      <c r="E180" s="872" t="s">
        <v>587</v>
      </c>
      <c r="F180" s="872" t="s">
        <v>553</v>
      </c>
      <c r="G180" s="872">
        <f>SQRT(3)</f>
        <v>1.7320508075688772</v>
      </c>
      <c r="H180" s="873" t="e">
        <f t="shared" si="6"/>
        <v>#N/A</v>
      </c>
      <c r="I180" s="872" t="s">
        <v>587</v>
      </c>
      <c r="J180" s="872">
        <v>1</v>
      </c>
      <c r="K180" s="872" t="s">
        <v>203</v>
      </c>
      <c r="L180" s="924" t="e">
        <f>H180*J180</f>
        <v>#N/A</v>
      </c>
      <c r="M180" s="872" t="s">
        <v>203</v>
      </c>
      <c r="N180" s="877" t="e">
        <f t="shared" si="7"/>
        <v>#N/A</v>
      </c>
      <c r="O180" s="874">
        <f>0.5*(100%-93%)^-2</f>
        <v>102.04081632653076</v>
      </c>
      <c r="P180" s="925" t="e">
        <f t="shared" si="8"/>
        <v>#N/A</v>
      </c>
      <c r="Q180" s="926" t="e">
        <f t="shared" si="9"/>
        <v>#N/A</v>
      </c>
      <c r="R180" s="933" t="e">
        <f t="shared" si="10"/>
        <v>#N/A</v>
      </c>
      <c r="S180" s="51"/>
    </row>
    <row r="181" spans="1:19" ht="32.1" customHeight="1" x14ac:dyDescent="0.2">
      <c r="A181" s="905" t="s">
        <v>588</v>
      </c>
      <c r="B181" s="912">
        <v>0</v>
      </c>
      <c r="C181" s="872" t="s">
        <v>590</v>
      </c>
      <c r="D181" s="881">
        <v>0</v>
      </c>
      <c r="E181" s="872" t="s">
        <v>587</v>
      </c>
      <c r="F181" s="872" t="s">
        <v>553</v>
      </c>
      <c r="G181" s="872">
        <f>SQRT(3)</f>
        <v>1.7320508075688772</v>
      </c>
      <c r="H181" s="873">
        <f t="shared" si="6"/>
        <v>0</v>
      </c>
      <c r="I181" s="872" t="s">
        <v>587</v>
      </c>
      <c r="J181" s="872">
        <v>1</v>
      </c>
      <c r="K181" s="872" t="s">
        <v>203</v>
      </c>
      <c r="L181" s="924">
        <f>H181*J181</f>
        <v>0</v>
      </c>
      <c r="M181" s="872" t="s">
        <v>203</v>
      </c>
      <c r="N181" s="877">
        <f t="shared" si="7"/>
        <v>0</v>
      </c>
      <c r="O181" s="874">
        <f>0.5*(100%-93%)^-2</f>
        <v>102.04081632653076</v>
      </c>
      <c r="P181" s="925">
        <f t="shared" si="8"/>
        <v>0</v>
      </c>
      <c r="Q181" s="926">
        <f t="shared" si="9"/>
        <v>0</v>
      </c>
      <c r="R181" s="927" t="e">
        <f t="shared" si="10"/>
        <v>#N/A</v>
      </c>
      <c r="S181" s="51"/>
    </row>
    <row r="182" spans="1:19" ht="32.1" customHeight="1" x14ac:dyDescent="0.2">
      <c r="A182" s="905" t="s">
        <v>591</v>
      </c>
      <c r="B182" s="918">
        <v>0</v>
      </c>
      <c r="C182" s="934" t="s">
        <v>592</v>
      </c>
      <c r="D182" s="935" t="e">
        <f>IF(C45=5,0.51,IF(C45=20,0.51,IF(C45=0.5,0.03,IF(C45=2,0.03))))</f>
        <v>#N/A</v>
      </c>
      <c r="E182" s="934" t="s">
        <v>587</v>
      </c>
      <c r="F182" s="872" t="s">
        <v>553</v>
      </c>
      <c r="G182" s="934">
        <v>1</v>
      </c>
      <c r="H182" s="936" t="e">
        <f t="shared" si="6"/>
        <v>#N/A</v>
      </c>
      <c r="I182" s="934" t="s">
        <v>587</v>
      </c>
      <c r="J182" s="934">
        <v>1</v>
      </c>
      <c r="K182" s="934" t="s">
        <v>203</v>
      </c>
      <c r="L182" s="937" t="e">
        <f>H182*J182</f>
        <v>#N/A</v>
      </c>
      <c r="M182" s="934" t="s">
        <v>203</v>
      </c>
      <c r="N182" s="938" t="e">
        <f t="shared" si="7"/>
        <v>#N/A</v>
      </c>
      <c r="O182" s="874">
        <f>0.5*(100%-93%)^-2</f>
        <v>102.04081632653076</v>
      </c>
      <c r="P182" s="939" t="e">
        <f t="shared" si="8"/>
        <v>#N/A</v>
      </c>
      <c r="Q182" s="940" t="e">
        <f t="shared" si="9"/>
        <v>#N/A</v>
      </c>
      <c r="R182" s="933" t="e">
        <f t="shared" si="10"/>
        <v>#N/A</v>
      </c>
      <c r="S182" s="51"/>
    </row>
    <row r="183" spans="1:19" ht="32.1" customHeight="1" thickBot="1" x14ac:dyDescent="0.25">
      <c r="A183" s="906" t="s">
        <v>593</v>
      </c>
      <c r="B183" s="919" t="e">
        <f>C44</f>
        <v>#N/A</v>
      </c>
      <c r="C183" s="322"/>
      <c r="D183" s="323"/>
      <c r="E183" s="324"/>
      <c r="F183" s="324"/>
      <c r="G183" s="324"/>
      <c r="H183" s="325"/>
      <c r="I183" s="324"/>
      <c r="J183" s="324"/>
      <c r="K183" s="324"/>
      <c r="L183" s="323"/>
      <c r="M183" s="324"/>
      <c r="N183" s="323"/>
      <c r="O183" s="326"/>
      <c r="P183" s="327"/>
      <c r="Q183" s="328"/>
      <c r="R183" s="174" t="e">
        <f>SUM(R156:R182)</f>
        <v>#N/A</v>
      </c>
      <c r="S183" s="51"/>
    </row>
    <row r="184" spans="1:19" ht="30" customHeight="1" thickBot="1" x14ac:dyDescent="0.3">
      <c r="A184" s="907" t="s">
        <v>594</v>
      </c>
      <c r="B184" s="920" t="e">
        <f>(B155-B160)*(1-(B165/B169))*(1/(B167-B165))*(1-B171*(B173-B183))</f>
        <v>#N/A</v>
      </c>
      <c r="C184" s="941" t="s">
        <v>203</v>
      </c>
      <c r="D184" s="176"/>
      <c r="E184" s="133"/>
      <c r="F184" s="131"/>
      <c r="G184" s="131"/>
      <c r="H184" s="131"/>
      <c r="I184" s="131"/>
      <c r="J184" s="131"/>
      <c r="K184" s="132"/>
      <c r="L184" s="1789" t="s">
        <v>595</v>
      </c>
      <c r="M184" s="1789"/>
      <c r="N184" s="405" t="e">
        <f>SQRT(N156+N157+N158+N159+N161+N162+N163+N164+N166+N168+N180+N170+N172+N174+N175+N176+N177+N179+N181+N182+N178)</f>
        <v>#N/A</v>
      </c>
      <c r="O184" s="406" t="s">
        <v>587</v>
      </c>
      <c r="P184" s="131"/>
      <c r="Q184" s="131"/>
      <c r="R184" s="51"/>
      <c r="S184" s="51"/>
    </row>
    <row r="185" spans="1:19" ht="30" customHeight="1" thickBot="1" x14ac:dyDescent="0.3">
      <c r="A185" s="908"/>
      <c r="B185" s="921"/>
      <c r="C185" s="942"/>
      <c r="D185" s="131"/>
      <c r="E185" s="131"/>
      <c r="F185" s="131"/>
      <c r="G185" s="131"/>
      <c r="H185" s="131"/>
      <c r="I185" s="131"/>
      <c r="J185" s="131"/>
      <c r="K185" s="131"/>
      <c r="L185" s="1683" t="s">
        <v>537</v>
      </c>
      <c r="M185" s="1683"/>
      <c r="N185" s="428" t="e">
        <f>N184^4/(SUM(Q156:Q182))</f>
        <v>#N/A</v>
      </c>
      <c r="O185" s="810" t="e">
        <f>_xlfn.T.INV.2T(0.05,N185)</f>
        <v>#N/A</v>
      </c>
      <c r="P185" s="294">
        <v>400</v>
      </c>
      <c r="Q185" s="131"/>
      <c r="R185" s="51"/>
      <c r="S185" s="51"/>
    </row>
    <row r="186" spans="1:19" ht="30" customHeight="1" thickBot="1" x14ac:dyDescent="0.3">
      <c r="A186" s="909"/>
      <c r="B186" s="922"/>
      <c r="C186" s="943"/>
      <c r="D186" s="176"/>
      <c r="E186" s="131"/>
      <c r="F186" s="131"/>
      <c r="G186" s="131"/>
      <c r="H186" s="131"/>
      <c r="I186" s="131"/>
      <c r="J186" s="179"/>
      <c r="K186" s="132"/>
      <c r="L186" s="1683" t="s">
        <v>596</v>
      </c>
      <c r="M186" s="1683"/>
      <c r="N186" s="811" t="e">
        <f>N184*O185</f>
        <v>#N/A</v>
      </c>
      <c r="O186" s="407" t="s">
        <v>587</v>
      </c>
      <c r="P186" s="131"/>
      <c r="Q186" s="131"/>
      <c r="R186" s="51"/>
      <c r="S186" s="51"/>
    </row>
    <row r="187" spans="1:19" ht="30" customHeight="1" thickBot="1" x14ac:dyDescent="0.25">
      <c r="A187" s="131"/>
      <c r="B187" s="180"/>
      <c r="C187" s="420"/>
      <c r="D187" s="131"/>
      <c r="E187" s="131"/>
      <c r="F187" s="131"/>
      <c r="G187" s="131"/>
      <c r="H187" s="131"/>
      <c r="I187" s="131"/>
      <c r="J187" s="131"/>
      <c r="K187" s="131"/>
      <c r="L187" s="1683" t="s">
        <v>596</v>
      </c>
      <c r="M187" s="1683"/>
      <c r="N187" s="408" t="e">
        <f>N186/1000</f>
        <v>#N/A</v>
      </c>
      <c r="O187" s="407" t="s">
        <v>36</v>
      </c>
      <c r="P187" s="131"/>
      <c r="Q187" s="131"/>
      <c r="R187" s="51"/>
      <c r="S187" s="51"/>
    </row>
    <row r="188" spans="1:19" ht="30" customHeight="1" thickBot="1" x14ac:dyDescent="0.25">
      <c r="A188" s="131"/>
      <c r="B188" s="180"/>
      <c r="C188" s="420"/>
      <c r="D188" s="131"/>
      <c r="E188" s="131"/>
      <c r="F188" s="131"/>
      <c r="G188" s="131"/>
      <c r="H188" s="131"/>
      <c r="I188" s="131"/>
      <c r="J188" s="131"/>
      <c r="K188" s="132"/>
      <c r="L188" s="1683" t="s">
        <v>597</v>
      </c>
      <c r="M188" s="1683"/>
      <c r="N188" s="409" t="e">
        <f>(N186/B184)*100</f>
        <v>#N/A</v>
      </c>
      <c r="O188" s="407" t="s">
        <v>499</v>
      </c>
      <c r="P188" s="131"/>
      <c r="Q188" s="131"/>
      <c r="R188" s="51"/>
      <c r="S188" s="51"/>
    </row>
    <row r="189" spans="1:19" x14ac:dyDescent="0.2">
      <c r="A189" s="51"/>
      <c r="B189" s="51"/>
      <c r="C189" s="51"/>
      <c r="D189" s="51"/>
      <c r="E189" s="181"/>
      <c r="F189" s="51"/>
      <c r="G189" s="51"/>
      <c r="H189" s="51"/>
      <c r="I189" s="51"/>
      <c r="J189" s="51"/>
      <c r="K189" s="51"/>
      <c r="L189" s="51"/>
      <c r="M189" s="51"/>
      <c r="N189" s="51"/>
      <c r="O189" s="51"/>
      <c r="P189" s="51"/>
      <c r="Q189" s="51"/>
      <c r="R189" s="51"/>
      <c r="S189" s="51"/>
    </row>
    <row r="190" spans="1:19" x14ac:dyDescent="0.2">
      <c r="A190" s="51"/>
      <c r="B190" s="51"/>
      <c r="C190" s="51"/>
      <c r="D190" s="51"/>
      <c r="E190" s="181"/>
      <c r="F190" s="51"/>
      <c r="G190" s="51"/>
      <c r="H190" s="51"/>
      <c r="I190" s="51"/>
      <c r="J190" s="51"/>
      <c r="K190" s="51"/>
      <c r="L190" s="51"/>
      <c r="M190" s="51"/>
      <c r="N190" s="51"/>
      <c r="O190" s="51"/>
      <c r="P190" s="51"/>
      <c r="Q190" s="51"/>
      <c r="R190" s="51"/>
      <c r="S190" s="51"/>
    </row>
    <row r="191" spans="1:19" ht="15.75" thickBot="1" x14ac:dyDescent="0.25">
      <c r="A191" s="51"/>
      <c r="B191" s="51"/>
      <c r="C191" s="51"/>
      <c r="D191" s="51"/>
      <c r="E191" s="51"/>
      <c r="F191" s="51"/>
      <c r="G191" s="51"/>
      <c r="H191" s="51"/>
      <c r="I191" s="51"/>
      <c r="J191" s="51"/>
      <c r="K191" s="51"/>
      <c r="L191" s="51"/>
      <c r="M191" s="51"/>
      <c r="N191" s="51"/>
      <c r="O191" s="51"/>
      <c r="P191" s="51"/>
      <c r="Q191" s="51"/>
      <c r="R191" s="51"/>
      <c r="S191" s="51"/>
    </row>
    <row r="192" spans="1:19" ht="30" customHeight="1" thickBot="1" x14ac:dyDescent="0.25">
      <c r="A192" s="1748" t="s">
        <v>598</v>
      </c>
      <c r="B192" s="1749"/>
      <c r="C192" s="1749"/>
      <c r="D192" s="1749"/>
      <c r="E192" s="1749"/>
      <c r="F192" s="1749"/>
      <c r="G192" s="1749"/>
      <c r="H192" s="1750"/>
      <c r="I192" s="51"/>
      <c r="J192" s="51"/>
      <c r="K192" s="1696" t="s">
        <v>599</v>
      </c>
      <c r="L192" s="1697"/>
      <c r="M192" s="52"/>
      <c r="N192" s="182">
        <v>0.3</v>
      </c>
      <c r="O192" s="50">
        <v>1.65</v>
      </c>
      <c r="P192" s="53"/>
      <c r="Q192" s="51"/>
      <c r="R192" s="51"/>
      <c r="S192" s="51"/>
    </row>
    <row r="193" spans="1:19" ht="30" customHeight="1" thickBot="1" x14ac:dyDescent="0.25">
      <c r="A193" s="183"/>
      <c r="B193" s="184" t="s">
        <v>600</v>
      </c>
      <c r="C193" s="185" t="s">
        <v>601</v>
      </c>
      <c r="D193" s="185" t="s">
        <v>599</v>
      </c>
      <c r="E193" s="185" t="s">
        <v>602</v>
      </c>
      <c r="F193" s="185" t="s">
        <v>603</v>
      </c>
      <c r="G193" s="185" t="s">
        <v>604</v>
      </c>
      <c r="H193" s="276" t="s">
        <v>605</v>
      </c>
      <c r="I193" s="51"/>
      <c r="J193" s="51"/>
      <c r="K193" s="1694" t="s">
        <v>606</v>
      </c>
      <c r="L193" s="186" t="e">
        <f>TINV(0.05,N185)</f>
        <v>#N/A</v>
      </c>
      <c r="M193" s="52"/>
      <c r="N193" s="1680" t="s">
        <v>607</v>
      </c>
      <c r="O193" s="1681"/>
      <c r="P193" s="1682"/>
      <c r="Q193" s="51"/>
      <c r="R193" s="51"/>
      <c r="S193" s="51"/>
    </row>
    <row r="194" spans="1:19" ht="30" customHeight="1" thickBot="1" x14ac:dyDescent="0.25">
      <c r="A194" s="187" t="s">
        <v>203</v>
      </c>
      <c r="B194" s="275" t="e">
        <f>G98</f>
        <v>#N/A</v>
      </c>
      <c r="C194" s="275" t="e">
        <f>N184</f>
        <v>#N/A</v>
      </c>
      <c r="D194" s="1704" t="e">
        <f>O185</f>
        <v>#N/A</v>
      </c>
      <c r="E194" s="277" t="e">
        <f>(C194*D194)</f>
        <v>#N/A</v>
      </c>
      <c r="F194" s="1707">
        <v>95</v>
      </c>
      <c r="G194" s="277" t="e">
        <f>B194-C52</f>
        <v>#N/A</v>
      </c>
      <c r="H194" s="303" t="e">
        <f>ABS(G194)</f>
        <v>#N/A</v>
      </c>
      <c r="I194" s="51"/>
      <c r="J194" s="51"/>
      <c r="K194" s="1695"/>
      <c r="L194" s="188" t="e">
        <f>MAX(N156:N182)</f>
        <v>#N/A</v>
      </c>
      <c r="M194" s="189" t="e">
        <f>IF((L195)&lt;=(N192),"1,65","k=2")</f>
        <v>#N/A</v>
      </c>
      <c r="N194" s="190" t="s">
        <v>608</v>
      </c>
      <c r="O194" s="191" t="s">
        <v>609</v>
      </c>
      <c r="P194" s="192" t="s">
        <v>610</v>
      </c>
      <c r="Q194" s="51"/>
      <c r="R194" s="51"/>
      <c r="S194" s="51"/>
    </row>
    <row r="195" spans="1:19" ht="30" customHeight="1" thickBot="1" x14ac:dyDescent="0.25">
      <c r="A195" s="193" t="s">
        <v>611</v>
      </c>
      <c r="B195" s="194" t="e">
        <f>B194/16.38706</f>
        <v>#N/A</v>
      </c>
      <c r="C195" s="194" t="e">
        <f>C194/16.38706</f>
        <v>#N/A</v>
      </c>
      <c r="D195" s="1705"/>
      <c r="E195" s="194" t="e">
        <f>C195*D194</f>
        <v>#N/A</v>
      </c>
      <c r="F195" s="1708"/>
      <c r="G195" s="194" t="e">
        <f>G194/16.38706</f>
        <v>#N/A</v>
      </c>
      <c r="H195" s="304" t="e">
        <f>ABS(G195)</f>
        <v>#N/A</v>
      </c>
      <c r="I195" s="51"/>
      <c r="J195" s="51"/>
      <c r="K195" s="195" t="s">
        <v>612</v>
      </c>
      <c r="L195" s="188" t="e">
        <f>(SQRT(SUM(N156:N159,N161:N164,N166,N168,N170,N172,N174:N179,N181:N182)))/L194</f>
        <v>#N/A</v>
      </c>
      <c r="M195" s="52"/>
      <c r="N195" s="196" t="s">
        <v>608</v>
      </c>
      <c r="O195" s="197" t="s">
        <v>613</v>
      </c>
      <c r="P195" s="198" t="s">
        <v>614</v>
      </c>
      <c r="Q195" s="51"/>
      <c r="R195" s="51"/>
      <c r="S195" s="51"/>
    </row>
    <row r="196" spans="1:19" ht="30" customHeight="1" x14ac:dyDescent="0.2">
      <c r="A196" s="193" t="s">
        <v>469</v>
      </c>
      <c r="B196" s="199" t="e">
        <f>G100</f>
        <v>#N/A</v>
      </c>
      <c r="C196" s="200" t="e">
        <f>(C194/1000)/3.785412</f>
        <v>#N/A</v>
      </c>
      <c r="D196" s="1705"/>
      <c r="E196" s="199" t="e">
        <f>C196*D194</f>
        <v>#N/A</v>
      </c>
      <c r="F196" s="1708"/>
      <c r="G196" s="199" t="e">
        <f>(G194/1000)/3.785412</f>
        <v>#N/A</v>
      </c>
      <c r="H196" s="305" t="e">
        <f>ABS(G196)</f>
        <v>#N/A</v>
      </c>
      <c r="I196" s="51"/>
      <c r="J196" s="51"/>
      <c r="K196" s="51"/>
      <c r="L196" s="51"/>
      <c r="M196" s="51"/>
      <c r="N196" s="51"/>
      <c r="O196" s="51"/>
      <c r="P196" s="51"/>
      <c r="Q196" s="51"/>
      <c r="R196" s="51"/>
      <c r="S196" s="51"/>
    </row>
    <row r="197" spans="1:19" ht="30" customHeight="1" thickBot="1" x14ac:dyDescent="0.25">
      <c r="A197" s="201" t="s">
        <v>499</v>
      </c>
      <c r="B197" s="202" t="e">
        <f>(B194/C52)*100</f>
        <v>#N/A</v>
      </c>
      <c r="C197" s="204" t="e">
        <f>(C196/B196)*100</f>
        <v>#N/A</v>
      </c>
      <c r="D197" s="1706"/>
      <c r="E197" s="203" t="e">
        <f>(C197*D194)</f>
        <v>#N/A</v>
      </c>
      <c r="F197" s="1709"/>
      <c r="G197" s="203" t="e">
        <f>(G196*100)/B196</f>
        <v>#N/A</v>
      </c>
      <c r="H197" s="306" t="e">
        <f>ABS(H196*100)/B196</f>
        <v>#N/A</v>
      </c>
      <c r="I197" s="51"/>
      <c r="J197" s="51"/>
      <c r="K197" s="51"/>
      <c r="L197" s="51"/>
      <c r="M197" s="51"/>
      <c r="N197" s="51"/>
      <c r="O197" s="51"/>
      <c r="P197" s="51"/>
      <c r="Q197" s="51"/>
      <c r="R197" s="51"/>
      <c r="S197" s="51"/>
    </row>
    <row r="198" spans="1:19" x14ac:dyDescent="0.2">
      <c r="A198" s="51"/>
      <c r="B198" s="51"/>
      <c r="C198" s="51"/>
      <c r="D198" s="51"/>
      <c r="E198" s="51"/>
      <c r="F198" s="51"/>
      <c r="G198" s="51"/>
      <c r="H198" s="51"/>
      <c r="I198" s="51"/>
      <c r="J198" s="51"/>
      <c r="K198" s="51"/>
      <c r="L198" s="51"/>
      <c r="M198" s="51"/>
      <c r="N198" s="51"/>
      <c r="O198" s="51"/>
      <c r="P198" s="51"/>
      <c r="Q198" s="51"/>
      <c r="R198" s="51"/>
      <c r="S198" s="51"/>
    </row>
    <row r="199" spans="1:19" x14ac:dyDescent="0.2">
      <c r="A199" s="1202"/>
      <c r="B199" s="1202"/>
      <c r="C199" s="1202"/>
      <c r="D199" s="1202"/>
      <c r="E199" s="1202"/>
      <c r="F199" s="1202"/>
      <c r="G199" s="1202"/>
      <c r="H199" s="1202"/>
      <c r="I199" s="1202"/>
      <c r="J199" s="1202"/>
      <c r="K199" s="1202"/>
      <c r="L199" s="1202"/>
      <c r="M199" s="1202"/>
      <c r="N199" s="1202"/>
      <c r="O199" s="1202"/>
      <c r="P199" s="1202"/>
      <c r="Q199" s="1202"/>
      <c r="R199" s="1202"/>
      <c r="S199" s="1202"/>
    </row>
    <row r="200" spans="1:19" x14ac:dyDescent="0.2">
      <c r="A200" s="1202"/>
      <c r="B200" s="1202"/>
      <c r="C200" s="1202"/>
      <c r="D200" s="1202"/>
      <c r="E200" s="1202"/>
      <c r="F200" s="1202"/>
      <c r="G200" s="1203"/>
      <c r="H200" s="1202"/>
      <c r="I200" s="1202"/>
      <c r="J200" s="1202"/>
      <c r="K200" s="1202"/>
      <c r="L200" s="1202"/>
      <c r="M200" s="1202"/>
      <c r="N200" s="1202"/>
      <c r="O200" s="1202"/>
      <c r="P200" s="1202"/>
      <c r="Q200" s="1202"/>
      <c r="R200" s="1202"/>
      <c r="S200" s="1202"/>
    </row>
    <row r="201" spans="1:19" x14ac:dyDescent="0.2">
      <c r="A201" s="1202"/>
      <c r="B201" s="1202"/>
      <c r="C201" s="1202"/>
      <c r="D201" s="1202"/>
      <c r="E201" s="1202"/>
      <c r="F201" s="1202"/>
      <c r="G201" s="1202"/>
      <c r="H201" s="1202"/>
      <c r="I201" s="1202"/>
      <c r="J201" s="1202"/>
      <c r="K201" s="1202"/>
      <c r="L201" s="1202"/>
      <c r="M201" s="1202"/>
      <c r="N201" s="1202"/>
      <c r="O201" s="1202"/>
      <c r="P201" s="1202"/>
      <c r="Q201" s="1202"/>
      <c r="R201" s="1202"/>
      <c r="S201" s="1202"/>
    </row>
    <row r="202" spans="1:19" x14ac:dyDescent="0.2">
      <c r="A202" s="1202"/>
      <c r="B202" s="1202"/>
      <c r="C202" s="1202"/>
      <c r="D202" s="1202"/>
      <c r="E202" s="1202"/>
      <c r="F202" s="1202"/>
      <c r="G202" s="1202"/>
      <c r="H202" s="1202"/>
      <c r="I202" s="1202"/>
      <c r="J202" s="1202"/>
      <c r="K202" s="1202"/>
      <c r="L202" s="1202"/>
      <c r="M202" s="1202"/>
      <c r="N202" s="1202"/>
      <c r="O202" s="1202"/>
      <c r="P202" s="1202"/>
      <c r="Q202" s="1202"/>
      <c r="R202" s="1202"/>
      <c r="S202" s="1202"/>
    </row>
    <row r="203" spans="1:19" x14ac:dyDescent="0.2">
      <c r="A203" s="1202"/>
      <c r="B203" s="1202"/>
      <c r="C203" s="1202"/>
      <c r="D203" s="1202"/>
      <c r="E203" s="1202"/>
      <c r="F203" s="1202"/>
      <c r="G203" s="1202"/>
      <c r="H203" s="1202"/>
      <c r="I203" s="1202"/>
      <c r="J203" s="1202"/>
      <c r="K203" s="1202"/>
      <c r="L203" s="1202"/>
      <c r="M203" s="1202"/>
      <c r="N203" s="1202"/>
      <c r="O203" s="1202"/>
      <c r="P203" s="1202"/>
      <c r="Q203" s="1202"/>
      <c r="R203" s="1202"/>
      <c r="S203" s="1202"/>
    </row>
    <row r="204" spans="1:19" x14ac:dyDescent="0.2">
      <c r="A204" s="1202"/>
      <c r="B204" s="1202"/>
      <c r="C204" s="1202"/>
      <c r="D204" s="1202"/>
      <c r="E204" s="1202"/>
      <c r="F204" s="1202"/>
      <c r="G204" s="1202"/>
      <c r="H204" s="1202"/>
      <c r="I204" s="1202"/>
      <c r="J204" s="1202"/>
      <c r="K204" s="1202"/>
      <c r="L204" s="1202"/>
      <c r="M204" s="1202"/>
      <c r="N204" s="1202"/>
      <c r="O204" s="1202"/>
      <c r="P204" s="1202"/>
      <c r="Q204" s="1202"/>
      <c r="R204" s="1202"/>
      <c r="S204" s="1202"/>
    </row>
    <row r="205" spans="1:19" x14ac:dyDescent="0.2">
      <c r="A205" s="1202"/>
      <c r="B205" s="1202"/>
      <c r="C205" s="1202"/>
      <c r="D205" s="1202"/>
      <c r="E205" s="1202"/>
      <c r="F205" s="1202"/>
      <c r="G205" s="1202"/>
      <c r="H205" s="1202"/>
      <c r="I205" s="1202"/>
      <c r="J205" s="1202"/>
      <c r="K205" s="1202"/>
      <c r="L205" s="1202"/>
      <c r="M205" s="1202"/>
      <c r="N205" s="1202"/>
      <c r="O205" s="1202"/>
      <c r="P205" s="1202"/>
      <c r="Q205" s="1202"/>
      <c r="R205" s="1202"/>
      <c r="S205" s="1202"/>
    </row>
    <row r="206" spans="1:19" x14ac:dyDescent="0.2">
      <c r="A206" s="1202"/>
      <c r="B206" s="1202"/>
      <c r="C206" s="1202"/>
      <c r="D206" s="1202"/>
      <c r="E206" s="1202"/>
      <c r="F206" s="1202"/>
      <c r="G206" s="1202"/>
      <c r="H206" s="1202"/>
      <c r="I206" s="1202"/>
      <c r="J206" s="1202"/>
      <c r="K206" s="1202"/>
      <c r="L206" s="1202"/>
      <c r="M206" s="1202"/>
      <c r="N206" s="1202"/>
      <c r="O206" s="1202"/>
      <c r="P206" s="1202"/>
      <c r="Q206" s="1202"/>
      <c r="R206" s="1202"/>
      <c r="S206" s="1202"/>
    </row>
    <row r="207" spans="1:19" x14ac:dyDescent="0.2">
      <c r="A207" s="1202"/>
      <c r="B207" s="1202"/>
      <c r="C207" s="1202"/>
      <c r="D207" s="1202"/>
      <c r="E207" s="1202"/>
      <c r="F207" s="1202"/>
      <c r="G207" s="1202"/>
      <c r="H207" s="1202"/>
      <c r="I207" s="1202"/>
      <c r="J207" s="1202"/>
      <c r="K207" s="1202"/>
      <c r="L207" s="1202"/>
      <c r="M207" s="1202"/>
      <c r="N207" s="1202"/>
      <c r="O207" s="1202"/>
      <c r="P207" s="1202"/>
      <c r="Q207" s="1202"/>
      <c r="R207" s="1202"/>
      <c r="S207" s="1202"/>
    </row>
  </sheetData>
  <sheetProtection password="CF5C" sheet="1" objects="1" scenarios="1"/>
  <mergeCells count="101">
    <mergeCell ref="L147:M147"/>
    <mergeCell ref="A151:R152"/>
    <mergeCell ref="L128:M128"/>
    <mergeCell ref="L110:M110"/>
    <mergeCell ref="J110:K110"/>
    <mergeCell ref="L125:M125"/>
    <mergeCell ref="L126:M126"/>
    <mergeCell ref="L127:M127"/>
    <mergeCell ref="L184:M184"/>
    <mergeCell ref="A47:B47"/>
    <mergeCell ref="A192:H192"/>
    <mergeCell ref="J134:K134"/>
    <mergeCell ref="A53:B53"/>
    <mergeCell ref="D134:E134"/>
    <mergeCell ref="H134:I134"/>
    <mergeCell ref="A72:A73"/>
    <mergeCell ref="A76:A77"/>
    <mergeCell ref="B130:D130"/>
    <mergeCell ref="A57:E57"/>
    <mergeCell ref="H110:I110"/>
    <mergeCell ref="D110:E110"/>
    <mergeCell ref="G67:J67"/>
    <mergeCell ref="G68:J68"/>
    <mergeCell ref="A80:G80"/>
    <mergeCell ref="A132:P133"/>
    <mergeCell ref="A108:P109"/>
    <mergeCell ref="E81:G81"/>
    <mergeCell ref="E82:G84"/>
    <mergeCell ref="E101:L101"/>
    <mergeCell ref="E107:G107"/>
    <mergeCell ref="L188:M188"/>
    <mergeCell ref="L134:M134"/>
    <mergeCell ref="L185:M185"/>
    <mergeCell ref="A23:A31"/>
    <mergeCell ref="P34:P35"/>
    <mergeCell ref="D34:D35"/>
    <mergeCell ref="E34:E35"/>
    <mergeCell ref="F34:F35"/>
    <mergeCell ref="G34:G35"/>
    <mergeCell ref="O34:O35"/>
    <mergeCell ref="N34:N35"/>
    <mergeCell ref="A13:A22"/>
    <mergeCell ref="M34:M35"/>
    <mergeCell ref="H34:H35"/>
    <mergeCell ref="A1:B1"/>
    <mergeCell ref="D1:R1"/>
    <mergeCell ref="D3:E3"/>
    <mergeCell ref="G3:H3"/>
    <mergeCell ref="J3:K3"/>
    <mergeCell ref="M3:N3"/>
    <mergeCell ref="P3:R3"/>
    <mergeCell ref="A5:R5"/>
    <mergeCell ref="A8:A12"/>
    <mergeCell ref="S34:S35"/>
    <mergeCell ref="A55:B55"/>
    <mergeCell ref="C55:F55"/>
    <mergeCell ref="K34:K35"/>
    <mergeCell ref="L34:L35"/>
    <mergeCell ref="I34:I35"/>
    <mergeCell ref="J34:J35"/>
    <mergeCell ref="B34:B35"/>
    <mergeCell ref="C34:C35"/>
    <mergeCell ref="A48:B48"/>
    <mergeCell ref="A51:B51"/>
    <mergeCell ref="C40:D40"/>
    <mergeCell ref="A49:B49"/>
    <mergeCell ref="A50:B50"/>
    <mergeCell ref="A39:D39"/>
    <mergeCell ref="A42:B42"/>
    <mergeCell ref="A43:B43"/>
    <mergeCell ref="A44:B44"/>
    <mergeCell ref="A45:B45"/>
    <mergeCell ref="C41:D41"/>
    <mergeCell ref="C42:D42"/>
    <mergeCell ref="C43:D43"/>
    <mergeCell ref="A41:B41"/>
    <mergeCell ref="A46:B46"/>
    <mergeCell ref="V175:X175"/>
    <mergeCell ref="N193:P193"/>
    <mergeCell ref="L186:M186"/>
    <mergeCell ref="L187:M187"/>
    <mergeCell ref="V174:X174"/>
    <mergeCell ref="E67:F69"/>
    <mergeCell ref="A66:D66"/>
    <mergeCell ref="E66:F66"/>
    <mergeCell ref="A71:D71"/>
    <mergeCell ref="E71:F71"/>
    <mergeCell ref="A75:D75"/>
    <mergeCell ref="E75:F75"/>
    <mergeCell ref="K193:K194"/>
    <mergeCell ref="K192:L192"/>
    <mergeCell ref="D153:E153"/>
    <mergeCell ref="H153:I153"/>
    <mergeCell ref="J153:K153"/>
    <mergeCell ref="L153:M153"/>
    <mergeCell ref="L80:N80"/>
    <mergeCell ref="D194:D197"/>
    <mergeCell ref="F194:F197"/>
    <mergeCell ref="L149:M149"/>
    <mergeCell ref="L148:M148"/>
    <mergeCell ref="A102:I102"/>
  </mergeCells>
  <conditionalFormatting sqref="H81">
    <cfRule type="colorScale" priority="22">
      <colorScale>
        <cfvo type="min"/>
        <cfvo type="percentile" val="50"/>
        <cfvo type="max"/>
        <color rgb="FFF8696B"/>
        <color rgb="FFFFEB84"/>
        <color rgb="FF63BE7B"/>
      </colorScale>
    </cfRule>
  </conditionalFormatting>
  <conditionalFormatting sqref="G67">
    <cfRule type="containsText" dxfId="21" priority="15" operator="containsText" text="La temperatura de al menos una medición está fuera del intervalo">
      <formula>NOT(ISERROR(SEARCH("La temperatura de al menos una medición está fuera del intervalo",G67)))</formula>
    </cfRule>
    <cfRule type="containsText" dxfId="20" priority="16" operator="containsText" text="La temperatura está dentro del intervalo de condiciones ambientales">
      <formula>NOT(ISERROR(SEARCH("La temperatura está dentro del intervalo de condiciones ambientales",G67)))</formula>
    </cfRule>
  </conditionalFormatting>
  <conditionalFormatting sqref="G68:J68">
    <cfRule type="containsText" dxfId="19" priority="9" operator="containsText" text="La humedad de al menos una medición está fuera del intervalo">
      <formula>NOT(ISERROR(SEARCH("La humedad de al menos una medición está fuera del intervalo",G68)))</formula>
    </cfRule>
    <cfRule type="containsText" dxfId="18" priority="10" operator="containsText" text="La humedad está dentro del intervalo de condiciones ambientales">
      <formula>NOT(ISERROR(SEARCH("La humedad está dentro del intervalo de condiciones ambientales",G68)))</formula>
    </cfRule>
  </conditionalFormatting>
  <conditionalFormatting sqref="K90">
    <cfRule type="containsText" dxfId="17" priority="2" operator="containsText" text="NO AJUSTAR">
      <formula>NOT(ISERROR(SEARCH("NO AJUSTAR",K90)))</formula>
    </cfRule>
    <cfRule type="containsText" dxfId="16" priority="3" operator="containsText" text="AJUSTAR">
      <formula>NOT(ISERROR(SEARCH("AJUSTAR",K90)))</formula>
    </cfRule>
  </conditionalFormatting>
  <conditionalFormatting sqref="L83:N85">
    <cfRule type="colorScale" priority="1">
      <colorScale>
        <cfvo type="num" val="3"/>
        <cfvo type="num" val="3"/>
        <color rgb="FF92D050"/>
        <color rgb="FFFF0000"/>
      </colorScale>
    </cfRule>
  </conditionalFormatting>
  <pageMargins left="0.70866141732283472" right="0.70866141732283472" top="0.74803149606299213" bottom="0.74803149606299213" header="0.31496062992125984" footer="0.31496062992125984"/>
  <pageSetup scale="10" pageOrder="overThenDown" orientation="portrait" horizontalDpi="4294967293" r:id="rId1"/>
  <headerFooter>
    <oddFooter>&amp;RRT03-F52 Vr.3 (2023-06-06)</oddFooter>
  </headerFooter>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14:formula1>
            <xm:f>'DATOS ¬'!$A$39:$A$40</xm:f>
          </x14:formula1>
          <xm:sqref>O91</xm:sqref>
        </x14:dataValidation>
        <x14:dataValidation type="list" allowBlank="1" showInputMessage="1" showErrorMessage="1">
          <x14:formula1>
            <xm:f>'DATOS ¬'!$C$37:$C$60</xm:f>
          </x14:formula1>
          <xm:sqref>S8:S12</xm:sqref>
        </x14:dataValidation>
        <x14:dataValidation type="list" allowBlank="1" showInputMessage="1" showErrorMessage="1">
          <x14:formula1>
            <xm:f>'DATOS ¬'!$C$177:$C$198</xm:f>
          </x14:formula1>
          <xm:sqref>S13:S22</xm:sqref>
        </x14:dataValidation>
        <x14:dataValidation type="list" allowBlank="1" showInputMessage="1" showErrorMessage="1">
          <x14:formula1>
            <xm:f>'DATOS ¬'!$P$9:$P$13</xm:f>
          </x14:formula1>
          <xm:sqref>G55</xm:sqref>
        </x14:dataValidation>
        <x14:dataValidation type="list" allowBlank="1" showInputMessage="1" showErrorMessage="1">
          <x14:formula1>
            <xm:f>'DATOS ¬'!$D$7:$D$9</xm:f>
          </x14:formula1>
          <xm:sqref>S3</xm:sqref>
        </x14:dataValidation>
        <x14:dataValidation type="list" allowBlank="1" showInputMessage="1" showErrorMessage="1">
          <x14:formula1>
            <xm:f>'DATOS ¬'!$C$157:$C$172</xm:f>
          </x14:formula1>
          <xm:sqref>S37:S51</xm:sqref>
        </x14:dataValidation>
        <x14:dataValidation type="list" allowBlank="1" showInputMessage="1" showErrorMessage="1">
          <x14:formula1>
            <xm:f>'DATOS ¬'!$C$151:$C$152</xm:f>
          </x14:formula1>
          <xm:sqref>S36</xm:sqref>
        </x14:dataValidation>
        <x14:dataValidation type="list" allowBlank="1" showInputMessage="1" showErrorMessage="1">
          <x14:formula1>
            <xm:f>'DATOS ¬'!$C$141:$C$147</xm:f>
          </x14:formula1>
          <xm:sqref>S34:S35</xm:sqref>
        </x14:dataValidation>
        <x14:dataValidation type="list" allowBlank="1" showInputMessage="1" showErrorMessage="1">
          <x14:formula1>
            <xm:f>'DATOS ¬'!$C$132:$C$137</xm:f>
          </x14:formula1>
          <xm:sqref>S33</xm:sqref>
        </x14:dataValidation>
        <x14:dataValidation type="list" allowBlank="1" showInputMessage="1" showErrorMessage="1">
          <x14:formula1>
            <xm:f>'DATOS ¬'!$C$67:$C$120</xm:f>
          </x14:formula1>
          <xm:sqref>S23</xm:sqref>
        </x14:dataValidation>
        <x14:dataValidation type="list" allowBlank="1" showInputMessage="1" showErrorMessage="1">
          <x14:formula1>
            <xm:f>'DATOS ¬'!$B$14:$B$16</xm:f>
          </x14:formula1>
          <xm:sqref>E41</xm:sqref>
        </x14:dataValidation>
        <x14:dataValidation type="list" allowBlank="1" showInputMessage="1" showErrorMessage="1">
          <x14:formula1>
            <xm:f>'DATOS ¬'!$A$179:$A$192</xm:f>
          </x14:formula1>
          <xm:sqref>H85</xm:sqref>
        </x14:dataValidation>
        <x14:dataValidation type="list" allowBlank="1" showInputMessage="1" showErrorMessage="1">
          <x14:formula1>
            <xm:f>'DATOS ¬'!$C$202:$C$204</xm:f>
          </x14:formula1>
          <xm:sqref>S7</xm:sqref>
        </x14:dataValidation>
        <x14:dataValidation type="list" allowBlank="1" showInputMessage="1" showErrorMessage="1">
          <x14:formula1>
            <xm:f>'DATOS ¬'!$C$209:$C$211</xm:f>
          </x14:formula1>
          <xm:sqref>S32</xm:sqref>
        </x14:dataValidation>
        <x14:dataValidation type="list" allowBlank="1" showInputMessage="1" showErrorMessage="1">
          <x14:formula1>
            <xm:f>'DATOS ¬'!$A$39:$A$61</xm:f>
          </x14:formula1>
          <xm:sqref>H90</xm:sqref>
        </x14:dataValidation>
        <x14:dataValidation type="list" allowBlank="1" showInputMessage="1" showErrorMessage="1">
          <x14:formula1>
            <xm:f>'DATOS ¬'!$B$123:$B$128</xm:f>
          </x14:formula1>
          <xm:sqref>H81</xm:sqref>
        </x14:dataValidation>
        <x14:dataValidation type="list" allowBlank="1" showInputMessage="1" showErrorMessage="1">
          <x14:formula1>
            <xm:f>'DATOS ¬'!$C$67:$C$129</xm:f>
          </x14:formula1>
          <xm:sqref>S24:S31</xm:sqref>
        </x14:dataValidation>
        <x14:dataValidation type="list" allowBlank="1" showInputMessage="1" showErrorMessage="1">
          <x14:formula1>
            <xm:f>'DATOS ¬'!$B$217:$B$250</xm:f>
          </x14:formula1>
          <xm:sqref>C58 E58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A207"/>
  <sheetViews>
    <sheetView showGridLines="0" topLeftCell="B1" zoomScale="50" zoomScaleNormal="50" zoomScaleSheetLayoutView="50" workbookViewId="0">
      <selection activeCell="B24" sqref="B24:L24"/>
    </sheetView>
  </sheetViews>
  <sheetFormatPr baseColWidth="10" defaultColWidth="11.42578125" defaultRowHeight="15" x14ac:dyDescent="0.2"/>
  <cols>
    <col min="1" max="1" width="52" style="1" customWidth="1"/>
    <col min="2" max="2" width="28" style="1" bestFit="1" customWidth="1"/>
    <col min="3" max="3" width="25.42578125" style="1" customWidth="1"/>
    <col min="4" max="4" width="16.7109375" style="1" customWidth="1"/>
    <col min="5" max="5" width="17.28515625" style="1" customWidth="1"/>
    <col min="6" max="6" width="17.7109375" style="1" bestFit="1" customWidth="1"/>
    <col min="7" max="7" width="19.140625" style="1" customWidth="1"/>
    <col min="8" max="8" width="17.5703125" style="1" customWidth="1"/>
    <col min="9" max="9" width="24.7109375" style="1" customWidth="1"/>
    <col min="10" max="10" width="15.7109375" style="1" customWidth="1"/>
    <col min="11" max="11" width="20.7109375" style="1" customWidth="1"/>
    <col min="12" max="12" width="21.42578125" style="1" customWidth="1"/>
    <col min="13" max="13" width="19.42578125" style="1" customWidth="1"/>
    <col min="14" max="14" width="17.85546875" style="1" customWidth="1"/>
    <col min="15" max="16" width="25" style="1" customWidth="1"/>
    <col min="17" max="17" width="17" style="1" customWidth="1"/>
    <col min="18" max="18" width="16.28515625" style="1" customWidth="1"/>
    <col min="19" max="19" width="18.85546875" style="1" customWidth="1"/>
    <col min="20" max="24" width="11.42578125" style="1"/>
    <col min="25" max="25" width="11.7109375" style="1" customWidth="1"/>
    <col min="26" max="16384" width="11.42578125" style="1"/>
  </cols>
  <sheetData>
    <row r="1" spans="1:19" s="3" customFormat="1" ht="75" customHeight="1" thickBot="1" x14ac:dyDescent="0.3">
      <c r="A1" s="1732"/>
      <c r="B1" s="1733"/>
      <c r="C1" s="1179"/>
      <c r="D1" s="1734" t="s">
        <v>0</v>
      </c>
      <c r="E1" s="1735"/>
      <c r="F1" s="1735"/>
      <c r="G1" s="1735"/>
      <c r="H1" s="1735"/>
      <c r="I1" s="1735"/>
      <c r="J1" s="1735"/>
      <c r="K1" s="1735"/>
      <c r="L1" s="1735"/>
      <c r="M1" s="1735"/>
      <c r="N1" s="1735"/>
      <c r="O1" s="1735"/>
      <c r="P1" s="1735"/>
      <c r="Q1" s="1735"/>
      <c r="R1" s="1736"/>
      <c r="S1" s="1180"/>
    </row>
    <row r="2" spans="1:19" s="3" customFormat="1" ht="5.0999999999999996" customHeight="1" thickBot="1" x14ac:dyDescent="0.35">
      <c r="A2" s="1181"/>
      <c r="B2" s="1181"/>
      <c r="C2" s="1182"/>
      <c r="D2" s="42"/>
      <c r="E2" s="42"/>
      <c r="F2" s="42"/>
      <c r="G2" s="42"/>
      <c r="H2" s="42"/>
      <c r="I2" s="42"/>
      <c r="J2" s="42"/>
      <c r="K2" s="42"/>
      <c r="L2" s="42"/>
      <c r="M2" s="42"/>
      <c r="N2" s="42"/>
      <c r="O2" s="42"/>
      <c r="P2" s="42"/>
      <c r="Q2" s="42"/>
      <c r="R2" s="42"/>
      <c r="S2" s="1182"/>
    </row>
    <row r="3" spans="1:19" s="4" customFormat="1" ht="36" customHeight="1" thickBot="1" x14ac:dyDescent="0.3">
      <c r="A3" s="1049" t="s">
        <v>406</v>
      </c>
      <c r="B3" s="1048" t="e">
        <f>VLOOKUP($S3,'DATOS ¬'!$D$7:$N$19,2,FALSE)</f>
        <v>#N/A</v>
      </c>
      <c r="C3" s="1050" t="s">
        <v>407</v>
      </c>
      <c r="D3" s="1737" t="e">
        <f>VLOOKUP($S$3,'DATOS ¬'!$D$7:$N$19,3,FALSE)</f>
        <v>#N/A</v>
      </c>
      <c r="E3" s="1738"/>
      <c r="F3" s="1050" t="s">
        <v>408</v>
      </c>
      <c r="G3" s="1739" t="e">
        <f>VLOOKUP($S$3,'DATOS ¬'!$D$7:$N$19,7,FALSE)</f>
        <v>#N/A</v>
      </c>
      <c r="H3" s="1739"/>
      <c r="I3" s="1050" t="s">
        <v>409</v>
      </c>
      <c r="J3" s="1739" t="e">
        <f>VLOOKUP($S$3,'DATOS ¬'!$D$7:$N$19,4,FALSE)</f>
        <v>#N/A</v>
      </c>
      <c r="K3" s="1739"/>
      <c r="L3" s="1050" t="s">
        <v>6</v>
      </c>
      <c r="M3" s="1737" t="e">
        <f>VLOOKUP($S$3,'DATOS ¬'!$D$7:$N$19,6,FALSE)</f>
        <v>#N/A</v>
      </c>
      <c r="N3" s="1738"/>
      <c r="O3" s="1050" t="s">
        <v>410</v>
      </c>
      <c r="P3" s="1739" t="e">
        <f>VLOOKUP($S$3,'DATOS ¬'!$D$7:$N$19,11,FALSE)</f>
        <v>#N/A</v>
      </c>
      <c r="Q3" s="1739"/>
      <c r="R3" s="1740"/>
      <c r="S3" s="56"/>
    </row>
    <row r="4" spans="1:19" s="4" customFormat="1" ht="5.0999999999999996" customHeight="1" thickBot="1" x14ac:dyDescent="0.35">
      <c r="A4" s="52"/>
      <c r="B4" s="52"/>
      <c r="C4" s="52"/>
      <c r="D4" s="52"/>
      <c r="E4" s="52"/>
      <c r="F4" s="52"/>
      <c r="G4" s="52"/>
      <c r="H4" s="52"/>
      <c r="I4" s="52"/>
      <c r="J4" s="52"/>
      <c r="K4" s="52"/>
      <c r="L4" s="52"/>
      <c r="M4" s="52"/>
      <c r="N4" s="52"/>
      <c r="O4" s="52"/>
      <c r="P4" s="52"/>
      <c r="Q4" s="52"/>
      <c r="R4" s="52"/>
      <c r="S4" s="52"/>
    </row>
    <row r="5" spans="1:19" s="4" customFormat="1" ht="30" customHeight="1" thickBot="1" x14ac:dyDescent="0.35">
      <c r="A5" s="1790" t="s">
        <v>411</v>
      </c>
      <c r="B5" s="1791"/>
      <c r="C5" s="1791"/>
      <c r="D5" s="1791"/>
      <c r="E5" s="1791"/>
      <c r="F5" s="1791"/>
      <c r="G5" s="1791"/>
      <c r="H5" s="1791"/>
      <c r="I5" s="1791"/>
      <c r="J5" s="1791"/>
      <c r="K5" s="1791"/>
      <c r="L5" s="1791"/>
      <c r="M5" s="1791"/>
      <c r="N5" s="1791"/>
      <c r="O5" s="1791"/>
      <c r="P5" s="1791"/>
      <c r="Q5" s="1791"/>
      <c r="R5" s="1792"/>
      <c r="S5" s="52"/>
    </row>
    <row r="6" spans="1:19" s="3" customFormat="1" ht="67.5" customHeight="1" thickBot="1" x14ac:dyDescent="0.3">
      <c r="A6" s="972" t="s">
        <v>412</v>
      </c>
      <c r="B6" s="979" t="s">
        <v>413</v>
      </c>
      <c r="C6" s="577" t="s">
        <v>414</v>
      </c>
      <c r="D6" s="577" t="s">
        <v>415</v>
      </c>
      <c r="E6" s="577" t="s">
        <v>68</v>
      </c>
      <c r="F6" s="577" t="s">
        <v>415</v>
      </c>
      <c r="G6" s="577" t="s">
        <v>69</v>
      </c>
      <c r="H6" s="577" t="s">
        <v>415</v>
      </c>
      <c r="I6" s="577" t="s">
        <v>70</v>
      </c>
      <c r="J6" s="577" t="s">
        <v>415</v>
      </c>
      <c r="K6" s="980" t="s">
        <v>416</v>
      </c>
      <c r="L6" s="577" t="s">
        <v>415</v>
      </c>
      <c r="M6" s="577" t="s">
        <v>417</v>
      </c>
      <c r="N6" s="577" t="s">
        <v>415</v>
      </c>
      <c r="O6" s="577" t="s">
        <v>71</v>
      </c>
      <c r="P6" s="577" t="s">
        <v>6</v>
      </c>
      <c r="Q6" s="185" t="s">
        <v>418</v>
      </c>
      <c r="R6" s="981"/>
      <c r="S6" s="53"/>
    </row>
    <row r="7" spans="1:19" s="3" customFormat="1" ht="29.25" customHeight="1" thickBot="1" x14ac:dyDescent="0.35">
      <c r="A7" s="1117" t="s">
        <v>307</v>
      </c>
      <c r="B7" s="526" t="e">
        <f>VLOOKUP(S7,'DATOS ¬'!C202:R205,3,FALSE)</f>
        <v>#N/A</v>
      </c>
      <c r="C7" s="982" t="e">
        <f>VLOOKUP(S7,'DATOS ¬'!C202:R205,4,FALSE)</f>
        <v>#N/A</v>
      </c>
      <c r="D7" s="604" t="s">
        <v>419</v>
      </c>
      <c r="E7" s="989" t="e">
        <f>VLOOKUP(S7,'DATOS ¬'!C202:R205,5,FALSE)</f>
        <v>#N/A</v>
      </c>
      <c r="F7" s="604" t="s">
        <v>419</v>
      </c>
      <c r="G7" s="993" t="e">
        <f>VLOOKUP(S7,'DATOS ¬'!C202:R205,6,FALSE)</f>
        <v>#N/A</v>
      </c>
      <c r="H7" s="604" t="s">
        <v>419</v>
      </c>
      <c r="I7" s="996" t="e">
        <f>VLOOKUP(S7,'DATOS ¬'!C202:R205,7,FALSE)</f>
        <v>#N/A</v>
      </c>
      <c r="J7" s="604" t="s">
        <v>419</v>
      </c>
      <c r="K7" s="993" t="e">
        <f>VLOOKUP(S7,'DATOS ¬'!C202:R205,16,FALSE)</f>
        <v>#N/A</v>
      </c>
      <c r="L7" s="604" t="s">
        <v>419</v>
      </c>
      <c r="M7" s="996" t="e">
        <f>SQRT((I7/2)^2)</f>
        <v>#N/A</v>
      </c>
      <c r="N7" s="604" t="s">
        <v>419</v>
      </c>
      <c r="O7" s="989" t="e">
        <f>VLOOKUP(S7,'DATOS ¬'!C202:R205,8,FALSE)</f>
        <v>#N/A</v>
      </c>
      <c r="P7" s="1054" t="e">
        <f>VLOOKUP(S7,'DATOS ¬'!C202:R205,9,FALSE)</f>
        <v>#N/A</v>
      </c>
      <c r="Q7" s="547"/>
      <c r="R7" s="57"/>
      <c r="S7" s="58"/>
    </row>
    <row r="8" spans="1:19" s="3" customFormat="1" ht="15.75" x14ac:dyDescent="0.25">
      <c r="A8" s="1793" t="s">
        <v>420</v>
      </c>
      <c r="B8" s="1052" t="str">
        <f>IFERROR(VLOOKUP(S8,'DATOS ¬'!C37:R60,3,0),"N/A")</f>
        <v>N/A</v>
      </c>
      <c r="C8" s="983" t="str">
        <f>IFERROR(VLOOKUP(S8,'DATOS ¬'!C37:R60,4,0),"N/A")</f>
        <v>N/A</v>
      </c>
      <c r="D8" s="586" t="s">
        <v>35</v>
      </c>
      <c r="E8" s="983" t="str">
        <f>IFERROR(VLOOKUP(S8,'DATOS ¬'!C37:R60,5,0),"N/A")</f>
        <v>N/A</v>
      </c>
      <c r="F8" s="1053" t="s">
        <v>35</v>
      </c>
      <c r="G8" s="983" t="str">
        <f>IFERROR(VLOOKUP(S8,'DATOS ¬'!C37:R60,6,0),"N/A")</f>
        <v>N/A</v>
      </c>
      <c r="H8" s="1053" t="s">
        <v>35</v>
      </c>
      <c r="I8" s="983" t="str">
        <f>IFERROR(VLOOKUP(S8,'DATOS ¬'!C37:R60,7,0),"N/A")</f>
        <v>N/A</v>
      </c>
      <c r="J8" s="1053" t="s">
        <v>35</v>
      </c>
      <c r="K8" s="1067" t="str">
        <f>IFERROR(VLOOKUP(S8,'DATOS ¬'!C37:R60,16,0),"N/A")</f>
        <v>N/A</v>
      </c>
      <c r="L8" s="1053" t="s">
        <v>35</v>
      </c>
      <c r="M8" s="999" t="e">
        <f t="shared" ref="M8:M22" si="0">SQRT((I8/2)^2+(K8/SQRT(12))^2)</f>
        <v>#VALUE!</v>
      </c>
      <c r="N8" s="1053" t="s">
        <v>35</v>
      </c>
      <c r="O8" s="984" t="str">
        <f>IFERROR(VLOOKUP(S8,'DATOS ¬'!C37:R60,8,0),"N/A")</f>
        <v>N/A</v>
      </c>
      <c r="P8" s="1055" t="str">
        <f>IFERROR(VLOOKUP(S8,'DATOS ¬'!C37:R60,9,0),"N/A")</f>
        <v>N/A</v>
      </c>
      <c r="Q8" s="59"/>
      <c r="R8" s="60"/>
      <c r="S8" s="61"/>
    </row>
    <row r="9" spans="1:19" s="3" customFormat="1" ht="15.75" x14ac:dyDescent="0.25">
      <c r="A9" s="1794"/>
      <c r="B9" s="1052" t="str">
        <f>IFERROR(VLOOKUP(S9,'DATOS ¬'!C37:R60,3,0),"N/A")</f>
        <v>N/A</v>
      </c>
      <c r="C9" s="983" t="str">
        <f>IFERROR(VLOOKUP(S9,'DATOS ¬'!C37:R60,4,0),"N/A")</f>
        <v>N/A</v>
      </c>
      <c r="D9" s="586" t="s">
        <v>35</v>
      </c>
      <c r="E9" s="983" t="str">
        <f>IFERROR(VLOOKUP(S9,'DATOS ¬'!C37:R60,5,0),"N/A")</f>
        <v>N/A</v>
      </c>
      <c r="F9" s="1053" t="s">
        <v>35</v>
      </c>
      <c r="G9" s="983" t="str">
        <f>IFERROR(VLOOKUP(S9,'DATOS ¬'!C37:R60,6,0),"N/A")</f>
        <v>N/A</v>
      </c>
      <c r="H9" s="1053" t="s">
        <v>35</v>
      </c>
      <c r="I9" s="983" t="str">
        <f>IFERROR(VLOOKUP(S9,'DATOS ¬'!C37:R60,7,0),"N/A")</f>
        <v>N/A</v>
      </c>
      <c r="J9" s="1053" t="s">
        <v>35</v>
      </c>
      <c r="K9" s="1067" t="str">
        <f>IFERROR(VLOOKUP(S9,'DATOS ¬'!C37:R60,16,0),"N/A")</f>
        <v>N/A</v>
      </c>
      <c r="L9" s="1053" t="s">
        <v>35</v>
      </c>
      <c r="M9" s="999" t="e">
        <f t="shared" si="0"/>
        <v>#VALUE!</v>
      </c>
      <c r="N9" s="1053" t="s">
        <v>35</v>
      </c>
      <c r="O9" s="984" t="str">
        <f>IFERROR(VLOOKUP(S9,'DATOS ¬'!C37:R60,8,0),"N/A")</f>
        <v>N/A</v>
      </c>
      <c r="P9" s="1055" t="str">
        <f>IFERROR(VLOOKUP(S9,'DATOS ¬'!C37:R60,9,0),"N/A")</f>
        <v>N/A</v>
      </c>
      <c r="Q9" s="59"/>
      <c r="R9" s="62"/>
      <c r="S9" s="63"/>
    </row>
    <row r="10" spans="1:19" s="3" customFormat="1" ht="15.75" x14ac:dyDescent="0.25">
      <c r="A10" s="1794"/>
      <c r="B10" s="1052" t="str">
        <f>IFERROR(VLOOKUP(S10,'DATOS ¬'!C37:R60,3,0),"N/A")</f>
        <v>N/A</v>
      </c>
      <c r="C10" s="983" t="str">
        <f>IFERROR(VLOOKUP(S10,'DATOS ¬'!C37:R60,4,0),"N/A")</f>
        <v>N/A</v>
      </c>
      <c r="D10" s="586" t="s">
        <v>35</v>
      </c>
      <c r="E10" s="983" t="str">
        <f>IFERROR(VLOOKUP(S10,'DATOS ¬'!C37:R60,5,0),"N/A")</f>
        <v>N/A</v>
      </c>
      <c r="F10" s="1053" t="s">
        <v>421</v>
      </c>
      <c r="G10" s="983" t="str">
        <f>IFERROR(VLOOKUP(S10,'DATOS ¬'!C37:R60,6,0),"N/A")</f>
        <v>N/A</v>
      </c>
      <c r="H10" s="1053" t="s">
        <v>35</v>
      </c>
      <c r="I10" s="983" t="str">
        <f>IFERROR(VLOOKUP(S10,'DATOS ¬'!C37:R60,7,0),"N/A")</f>
        <v>N/A</v>
      </c>
      <c r="J10" s="1053" t="s">
        <v>35</v>
      </c>
      <c r="K10" s="1067" t="str">
        <f>IFERROR(VLOOKUP(S10,'DATOS ¬'!C37:R60,16,0),"N/A")</f>
        <v>N/A</v>
      </c>
      <c r="L10" s="1053" t="s">
        <v>35</v>
      </c>
      <c r="M10" s="999" t="e">
        <f t="shared" si="0"/>
        <v>#VALUE!</v>
      </c>
      <c r="N10" s="1053" t="s">
        <v>35</v>
      </c>
      <c r="O10" s="984" t="str">
        <f>IFERROR(VLOOKUP(S10,'DATOS ¬'!C37:R60,8,0),"N/A")</f>
        <v>N/A</v>
      </c>
      <c r="P10" s="1055" t="str">
        <f>IFERROR(VLOOKUP(S10,'DATOS ¬'!C37:R60,9,0),"N/A")</f>
        <v>N/A</v>
      </c>
      <c r="Q10" s="59"/>
      <c r="R10" s="60"/>
      <c r="S10" s="63"/>
    </row>
    <row r="11" spans="1:19" s="3" customFormat="1" ht="15.75" x14ac:dyDescent="0.25">
      <c r="A11" s="1794"/>
      <c r="B11" s="1052" t="str">
        <f>IFERROR(VLOOKUP(S11,'DATOS ¬'!C37:R60,3,0),"N/A")</f>
        <v>N/A</v>
      </c>
      <c r="C11" s="983" t="str">
        <f>IFERROR(VLOOKUP(S11,'DATOS ¬'!C37:R60,4,0),"N/A")</f>
        <v>N/A</v>
      </c>
      <c r="D11" s="586" t="s">
        <v>35</v>
      </c>
      <c r="E11" s="983" t="str">
        <f>IFERROR(VLOOKUP(S11,'DATOS ¬'!C37:R60,5,0),"N/A")</f>
        <v>N/A</v>
      </c>
      <c r="F11" s="1053" t="s">
        <v>421</v>
      </c>
      <c r="G11" s="983" t="str">
        <f>IFERROR(VLOOKUP(S11,'DATOS ¬'!C37:R60,6,0),"N/A")</f>
        <v>N/A</v>
      </c>
      <c r="H11" s="1053" t="s">
        <v>35</v>
      </c>
      <c r="I11" s="983" t="str">
        <f>IFERROR(VLOOKUP(S11,'DATOS ¬'!C37:R60,7,0),"N/A")</f>
        <v>N/A</v>
      </c>
      <c r="J11" s="1053" t="s">
        <v>35</v>
      </c>
      <c r="K11" s="1067" t="str">
        <f>IFERROR(VLOOKUP(S11,'DATOS ¬'!C37:R60,16,0),"N/A")</f>
        <v>N/A</v>
      </c>
      <c r="L11" s="1053" t="s">
        <v>35</v>
      </c>
      <c r="M11" s="999" t="e">
        <f t="shared" si="0"/>
        <v>#VALUE!</v>
      </c>
      <c r="N11" s="1053" t="s">
        <v>35</v>
      </c>
      <c r="O11" s="984" t="str">
        <f>IFERROR(VLOOKUP(S11,'DATOS ¬'!C37:R60,8,0),"N/A")</f>
        <v>N/A</v>
      </c>
      <c r="P11" s="1055" t="str">
        <f>IFERROR(VLOOKUP(S11,'DATOS ¬'!C37:R60,9,0),"N/A")</f>
        <v>N/A</v>
      </c>
      <c r="Q11" s="59"/>
      <c r="R11" s="60"/>
      <c r="S11" s="63"/>
    </row>
    <row r="12" spans="1:19" s="3" customFormat="1" ht="16.5" thickBot="1" x14ac:dyDescent="0.3">
      <c r="A12" s="1795"/>
      <c r="B12" s="1052" t="str">
        <f>IFERROR(VLOOKUP(S12,'DATOS ¬'!C37:R60,3,0),"N/A")</f>
        <v>N/A</v>
      </c>
      <c r="C12" s="983" t="str">
        <f>IFERROR(VLOOKUP(S12,'DATOS ¬'!C37:R60,4,0),"N/A")</f>
        <v>N/A</v>
      </c>
      <c r="D12" s="586" t="s">
        <v>35</v>
      </c>
      <c r="E12" s="983" t="str">
        <f>IFERROR(VLOOKUP(S12,'DATOS ¬'!C37:R60,5,0),"N/A")</f>
        <v>N/A</v>
      </c>
      <c r="F12" s="1053" t="s">
        <v>421</v>
      </c>
      <c r="G12" s="983" t="str">
        <f>IFERROR(VLOOKUP(S12,'DATOS ¬'!C37:R60,6,0),"N/A")</f>
        <v>N/A</v>
      </c>
      <c r="H12" s="1053" t="s">
        <v>35</v>
      </c>
      <c r="I12" s="983" t="str">
        <f>IFERROR(VLOOKUP(S12,'DATOS ¬'!C37:R60,7,0),"N/A")</f>
        <v>N/A</v>
      </c>
      <c r="J12" s="1053" t="s">
        <v>35</v>
      </c>
      <c r="K12" s="1067" t="str">
        <f>IFERROR(VLOOKUP(S12,'DATOS ¬'!C37:R60,16,0),"N/A")</f>
        <v>N/A</v>
      </c>
      <c r="L12" s="1053" t="s">
        <v>35</v>
      </c>
      <c r="M12" s="999" t="e">
        <f t="shared" si="0"/>
        <v>#VALUE!</v>
      </c>
      <c r="N12" s="1053" t="s">
        <v>35</v>
      </c>
      <c r="O12" s="984" t="str">
        <f>IFERROR(VLOOKUP(S12,'DATOS ¬'!C37:R60,8,0),"N/A")</f>
        <v>N/A</v>
      </c>
      <c r="P12" s="1055" t="str">
        <f>IFERROR(VLOOKUP(S12,'DATOS ¬'!C37:R60,9,0),"N/A")</f>
        <v>N/A</v>
      </c>
      <c r="Q12" s="59"/>
      <c r="R12" s="60"/>
      <c r="S12" s="63"/>
    </row>
    <row r="13" spans="1:19" s="3" customFormat="1" ht="30" customHeight="1" x14ac:dyDescent="0.25">
      <c r="A13" s="1796" t="s">
        <v>615</v>
      </c>
      <c r="B13" s="263" t="e">
        <f>VLOOKUP(S13,'DATOS ¬'!$C$177:$R$198,3,FALSE)</f>
        <v>#N/A</v>
      </c>
      <c r="C13" s="984" t="e">
        <f>VLOOKUP(S13,'DATOS ¬'!$C$177:$R$198,4,FALSE)</f>
        <v>#N/A</v>
      </c>
      <c r="D13" s="586" t="s">
        <v>422</v>
      </c>
      <c r="E13" s="985" t="e">
        <f>VLOOKUP(S13,'DATOS ¬'!$C$177:$R$198,5,FALSE)</f>
        <v>#N/A</v>
      </c>
      <c r="F13" s="1053" t="s">
        <v>422</v>
      </c>
      <c r="G13" s="985" t="e">
        <f>VLOOKUP(S13,'DATOS ¬'!$C$177:$R$198,6,FALSE)</f>
        <v>#N/A</v>
      </c>
      <c r="H13" s="1053" t="s">
        <v>422</v>
      </c>
      <c r="I13" s="985" t="e">
        <f>VLOOKUP(S13,'DATOS ¬'!$C$177:$R$198,7,FALSE)</f>
        <v>#N/A</v>
      </c>
      <c r="J13" s="1053" t="s">
        <v>422</v>
      </c>
      <c r="K13" s="983" t="e">
        <f>VLOOKUP(S13,'DATOS ¬'!$C$177:$R$198,16,FALSE)</f>
        <v>#N/A</v>
      </c>
      <c r="L13" s="1053" t="s">
        <v>422</v>
      </c>
      <c r="M13" s="999" t="e">
        <f t="shared" si="0"/>
        <v>#N/A</v>
      </c>
      <c r="N13" s="1053" t="s">
        <v>422</v>
      </c>
      <c r="O13" s="984" t="e">
        <f>VLOOKUP(S13,'DATOS ¬'!$C$177:$R$198,8,FALSE)</f>
        <v>#N/A</v>
      </c>
      <c r="P13" s="1055" t="e">
        <f>VLOOKUP(S13,'DATOS ¬'!$C$177:$R$198,9,FALSE)</f>
        <v>#N/A</v>
      </c>
      <c r="Q13" s="59"/>
      <c r="R13" s="59"/>
      <c r="S13" s="61"/>
    </row>
    <row r="14" spans="1:19" s="3" customFormat="1" ht="30" customHeight="1" x14ac:dyDescent="0.25">
      <c r="A14" s="1794"/>
      <c r="B14" s="263" t="e">
        <f>VLOOKUP(S14,'DATOS ¬'!$C$177:$R$198,3,FALSE)</f>
        <v>#N/A</v>
      </c>
      <c r="C14" s="984" t="e">
        <f>VLOOKUP(S14,'DATOS ¬'!$C$177:$R$198,4,FALSE)</f>
        <v>#N/A</v>
      </c>
      <c r="D14" s="586" t="s">
        <v>422</v>
      </c>
      <c r="E14" s="985" t="e">
        <f>VLOOKUP(S14,'DATOS ¬'!$C$177:$R$198,5,FALSE)</f>
        <v>#N/A</v>
      </c>
      <c r="F14" s="1053" t="s">
        <v>422</v>
      </c>
      <c r="G14" s="985" t="e">
        <f>VLOOKUP(S14,'DATOS ¬'!$C$177:$R$198,6,FALSE)</f>
        <v>#N/A</v>
      </c>
      <c r="H14" s="1053" t="s">
        <v>422</v>
      </c>
      <c r="I14" s="985" t="e">
        <f>VLOOKUP(S14,'DATOS ¬'!$C$177:$R$198,7,FALSE)</f>
        <v>#N/A</v>
      </c>
      <c r="J14" s="1053" t="s">
        <v>422</v>
      </c>
      <c r="K14" s="983" t="e">
        <f>VLOOKUP(S14,'DATOS ¬'!$C$177:$R$198,16,FALSE)</f>
        <v>#N/A</v>
      </c>
      <c r="L14" s="1053" t="s">
        <v>422</v>
      </c>
      <c r="M14" s="999" t="e">
        <f t="shared" si="0"/>
        <v>#N/A</v>
      </c>
      <c r="N14" s="1053" t="s">
        <v>422</v>
      </c>
      <c r="O14" s="984" t="e">
        <f>VLOOKUP(S14,'DATOS ¬'!$C$177:$R$198,8,FALSE)</f>
        <v>#N/A</v>
      </c>
      <c r="P14" s="1055" t="e">
        <f>VLOOKUP(S14,'DATOS ¬'!$C$177:$R$198,9,FALSE)</f>
        <v>#N/A</v>
      </c>
      <c r="Q14" s="59"/>
      <c r="R14" s="59"/>
      <c r="S14" s="63"/>
    </row>
    <row r="15" spans="1:19" s="3" customFormat="1" ht="30" customHeight="1" x14ac:dyDescent="0.25">
      <c r="A15" s="1794"/>
      <c r="B15" s="263" t="e">
        <f>VLOOKUP(S15,'DATOS ¬'!$C$177:$R$198,3,FALSE)</f>
        <v>#N/A</v>
      </c>
      <c r="C15" s="984" t="e">
        <f>VLOOKUP(S15,'DATOS ¬'!$C$177:$R$198,4,FALSE)</f>
        <v>#N/A</v>
      </c>
      <c r="D15" s="586" t="s">
        <v>422</v>
      </c>
      <c r="E15" s="985" t="e">
        <f>VLOOKUP(S15,'DATOS ¬'!$C$177:$R$198,5,FALSE)</f>
        <v>#N/A</v>
      </c>
      <c r="F15" s="1053" t="s">
        <v>422</v>
      </c>
      <c r="G15" s="985" t="e">
        <f>VLOOKUP(S15,'DATOS ¬'!$C$177:$R$198,6,FALSE)</f>
        <v>#N/A</v>
      </c>
      <c r="H15" s="1053" t="s">
        <v>422</v>
      </c>
      <c r="I15" s="985" t="e">
        <f>VLOOKUP(S15,'DATOS ¬'!$C$177:$R$198,7,FALSE)</f>
        <v>#N/A</v>
      </c>
      <c r="J15" s="1053" t="s">
        <v>422</v>
      </c>
      <c r="K15" s="983" t="e">
        <f>VLOOKUP(S15,'DATOS ¬'!$C$177:$R$198,16,FALSE)</f>
        <v>#N/A</v>
      </c>
      <c r="L15" s="1053" t="s">
        <v>422</v>
      </c>
      <c r="M15" s="986" t="e">
        <f t="shared" si="0"/>
        <v>#N/A</v>
      </c>
      <c r="N15" s="1053" t="s">
        <v>422</v>
      </c>
      <c r="O15" s="984" t="e">
        <f>VLOOKUP(S15,'DATOS ¬'!$C$177:$R$198,8,FALSE)</f>
        <v>#N/A</v>
      </c>
      <c r="P15" s="1055" t="e">
        <f>VLOOKUP(S15,'DATOS ¬'!$C$177:$R$198,9,FALSE)</f>
        <v>#N/A</v>
      </c>
      <c r="Q15" s="59"/>
      <c r="R15" s="59"/>
      <c r="S15" s="63"/>
    </row>
    <row r="16" spans="1:19" s="3" customFormat="1" ht="30" customHeight="1" x14ac:dyDescent="0.25">
      <c r="A16" s="1794"/>
      <c r="B16" s="263" t="e">
        <f>VLOOKUP(S16,'DATOS ¬'!$C$177:$R$198,3,FALSE)</f>
        <v>#N/A</v>
      </c>
      <c r="C16" s="984" t="e">
        <f>VLOOKUP(S16,'DATOS ¬'!$C$177:$R$198,4,FALSE)</f>
        <v>#N/A</v>
      </c>
      <c r="D16" s="586" t="s">
        <v>422</v>
      </c>
      <c r="E16" s="985" t="e">
        <f>VLOOKUP(S16,'DATOS ¬'!$C$177:$R$198,5,FALSE)</f>
        <v>#N/A</v>
      </c>
      <c r="F16" s="1053" t="s">
        <v>422</v>
      </c>
      <c r="G16" s="985" t="e">
        <f>VLOOKUP(S16,'DATOS ¬'!$C$177:$R$198,6,FALSE)</f>
        <v>#N/A</v>
      </c>
      <c r="H16" s="1053" t="s">
        <v>422</v>
      </c>
      <c r="I16" s="985" t="e">
        <f>VLOOKUP(S16,'DATOS ¬'!$C$177:$R$198,7,FALSE)</f>
        <v>#N/A</v>
      </c>
      <c r="J16" s="1053" t="s">
        <v>422</v>
      </c>
      <c r="K16" s="983" t="e">
        <f>VLOOKUP(S16,'DATOS ¬'!$C$177:$R$198,16,FALSE)</f>
        <v>#N/A</v>
      </c>
      <c r="L16" s="1053" t="s">
        <v>422</v>
      </c>
      <c r="M16" s="986" t="e">
        <f t="shared" si="0"/>
        <v>#N/A</v>
      </c>
      <c r="N16" s="1053" t="s">
        <v>422</v>
      </c>
      <c r="O16" s="984" t="e">
        <f>VLOOKUP(S16,'DATOS ¬'!$C$177:$R$198,8,FALSE)</f>
        <v>#N/A</v>
      </c>
      <c r="P16" s="1055" t="e">
        <f>VLOOKUP(S16,'DATOS ¬'!$C$177:$R$198,9,FALSE)</f>
        <v>#N/A</v>
      </c>
      <c r="Q16" s="59"/>
      <c r="R16" s="59"/>
      <c r="S16" s="63"/>
    </row>
    <row r="17" spans="1:19" s="3" customFormat="1" ht="30" customHeight="1" x14ac:dyDescent="0.25">
      <c r="A17" s="1794"/>
      <c r="B17" s="263" t="e">
        <f>VLOOKUP(S17,'DATOS ¬'!$C$177:$R$198,3,FALSE)</f>
        <v>#N/A</v>
      </c>
      <c r="C17" s="984" t="e">
        <f>VLOOKUP(S17,'DATOS ¬'!$C$177:$R$198,4,FALSE)</f>
        <v>#N/A</v>
      </c>
      <c r="D17" s="586" t="s">
        <v>422</v>
      </c>
      <c r="E17" s="985" t="e">
        <f>VLOOKUP(S17,'DATOS ¬'!$C$177:$R$198,5,FALSE)</f>
        <v>#N/A</v>
      </c>
      <c r="F17" s="1053" t="s">
        <v>422</v>
      </c>
      <c r="G17" s="985" t="e">
        <f>VLOOKUP(S17,'DATOS ¬'!$C$177:$R$198,6,FALSE)</f>
        <v>#N/A</v>
      </c>
      <c r="H17" s="1053" t="s">
        <v>422</v>
      </c>
      <c r="I17" s="985" t="e">
        <f>VLOOKUP(S17,'DATOS ¬'!$C$177:$R$198,7,FALSE)</f>
        <v>#N/A</v>
      </c>
      <c r="J17" s="1053" t="s">
        <v>422</v>
      </c>
      <c r="K17" s="983" t="e">
        <f>VLOOKUP(S17,'DATOS ¬'!$C$177:$R$198,16,FALSE)</f>
        <v>#N/A</v>
      </c>
      <c r="L17" s="1053" t="s">
        <v>422</v>
      </c>
      <c r="M17" s="986" t="e">
        <f t="shared" si="0"/>
        <v>#N/A</v>
      </c>
      <c r="N17" s="1053" t="s">
        <v>422</v>
      </c>
      <c r="O17" s="984" t="e">
        <f>VLOOKUP(S17,'DATOS ¬'!$C$177:$R$198,8,FALSE)</f>
        <v>#N/A</v>
      </c>
      <c r="P17" s="1055" t="e">
        <f>VLOOKUP(S17,'DATOS ¬'!$C$177:$R$198,9,FALSE)</f>
        <v>#N/A</v>
      </c>
      <c r="Q17" s="59"/>
      <c r="R17" s="59"/>
      <c r="S17" s="63"/>
    </row>
    <row r="18" spans="1:19" s="3" customFormat="1" ht="30" customHeight="1" x14ac:dyDescent="0.25">
      <c r="A18" s="1794"/>
      <c r="B18" s="263" t="e">
        <f>VLOOKUP(S18,'DATOS ¬'!$C$177:$R$198,3,FALSE)</f>
        <v>#N/A</v>
      </c>
      <c r="C18" s="984" t="e">
        <f>VLOOKUP(S18,'DATOS ¬'!$C$177:$R$198,4,FALSE)</f>
        <v>#N/A</v>
      </c>
      <c r="D18" s="586" t="s">
        <v>422</v>
      </c>
      <c r="E18" s="985" t="e">
        <f>VLOOKUP(S18,'DATOS ¬'!$C$177:$R$198,5,FALSE)</f>
        <v>#N/A</v>
      </c>
      <c r="F18" s="1053" t="s">
        <v>422</v>
      </c>
      <c r="G18" s="985" t="e">
        <f>VLOOKUP(S18,'DATOS ¬'!$C$177:$R$198,6,FALSE)</f>
        <v>#N/A</v>
      </c>
      <c r="H18" s="1053" t="s">
        <v>422</v>
      </c>
      <c r="I18" s="985" t="e">
        <f>VLOOKUP(S18,'DATOS ¬'!$C$177:$R$198,7,FALSE)</f>
        <v>#N/A</v>
      </c>
      <c r="J18" s="1053" t="s">
        <v>422</v>
      </c>
      <c r="K18" s="983" t="e">
        <f>VLOOKUP(S18,'DATOS ¬'!$C$177:$R$198,16,FALSE)</f>
        <v>#N/A</v>
      </c>
      <c r="L18" s="1053" t="s">
        <v>422</v>
      </c>
      <c r="M18" s="986" t="e">
        <f t="shared" si="0"/>
        <v>#N/A</v>
      </c>
      <c r="N18" s="1053" t="s">
        <v>422</v>
      </c>
      <c r="O18" s="984" t="e">
        <f>VLOOKUP(S18,'DATOS ¬'!$C$177:$R$198,8,FALSE)</f>
        <v>#N/A</v>
      </c>
      <c r="P18" s="1056" t="e">
        <f>VLOOKUP(S18,'DATOS ¬'!$C$177:$R$198,9,FALSE)</f>
        <v>#N/A</v>
      </c>
      <c r="Q18" s="672" t="e">
        <f>VLOOKUP(S18,'DATOS ¬'!$C$177:$S$198,17,FALSE)</f>
        <v>#N/A</v>
      </c>
      <c r="R18" s="59"/>
      <c r="S18" s="63"/>
    </row>
    <row r="19" spans="1:19" s="3" customFormat="1" ht="30" customHeight="1" x14ac:dyDescent="0.25">
      <c r="A19" s="1794"/>
      <c r="B19" s="263" t="e">
        <f>VLOOKUP(S19,'DATOS ¬'!$C$177:$R$198,3,FALSE)</f>
        <v>#N/A</v>
      </c>
      <c r="C19" s="984" t="e">
        <f>VLOOKUP(S19,'DATOS ¬'!$C$177:$R$198,4,FALSE)</f>
        <v>#N/A</v>
      </c>
      <c r="D19" s="586" t="s">
        <v>422</v>
      </c>
      <c r="E19" s="985" t="e">
        <f>VLOOKUP(S19,'DATOS ¬'!$C$177:$R$198,5,FALSE)</f>
        <v>#N/A</v>
      </c>
      <c r="F19" s="1053" t="s">
        <v>422</v>
      </c>
      <c r="G19" s="985" t="e">
        <f>VLOOKUP(S19,'DATOS ¬'!$C$177:$R$198,6,FALSE)</f>
        <v>#N/A</v>
      </c>
      <c r="H19" s="1053" t="s">
        <v>422</v>
      </c>
      <c r="I19" s="985" t="e">
        <f>VLOOKUP(S19,'DATOS ¬'!$C$177:$R$198,7,FALSE)</f>
        <v>#N/A</v>
      </c>
      <c r="J19" s="1053" t="s">
        <v>422</v>
      </c>
      <c r="K19" s="983" t="e">
        <f>VLOOKUP(S19,'DATOS ¬'!$C$177:$R$198,16,FALSE)</f>
        <v>#N/A</v>
      </c>
      <c r="L19" s="1053" t="s">
        <v>422</v>
      </c>
      <c r="M19" s="986" t="e">
        <f t="shared" si="0"/>
        <v>#N/A</v>
      </c>
      <c r="N19" s="1053" t="s">
        <v>422</v>
      </c>
      <c r="O19" s="984" t="e">
        <f>VLOOKUP(S19,'DATOS ¬'!$C$177:$R$198,8,FALSE)</f>
        <v>#N/A</v>
      </c>
      <c r="P19" s="1055" t="e">
        <f>VLOOKUP(S19,'DATOS ¬'!$C$177:$R$198,9,FALSE)</f>
        <v>#N/A</v>
      </c>
      <c r="Q19" s="59"/>
      <c r="R19" s="59"/>
      <c r="S19" s="63"/>
    </row>
    <row r="20" spans="1:19" s="3" customFormat="1" ht="30" customHeight="1" x14ac:dyDescent="0.25">
      <c r="A20" s="1794"/>
      <c r="B20" s="263" t="e">
        <f>VLOOKUP(S20,'DATOS ¬'!$C$177:$R$198,3,FALSE)</f>
        <v>#N/A</v>
      </c>
      <c r="C20" s="984" t="e">
        <f>VLOOKUP(S20,'DATOS ¬'!$C$177:$R$198,4,FALSE)</f>
        <v>#N/A</v>
      </c>
      <c r="D20" s="586" t="s">
        <v>422</v>
      </c>
      <c r="E20" s="985" t="e">
        <f>VLOOKUP(S20,'DATOS ¬'!$C$177:$R$198,5,FALSE)</f>
        <v>#N/A</v>
      </c>
      <c r="F20" s="1053" t="s">
        <v>422</v>
      </c>
      <c r="G20" s="985" t="e">
        <f>VLOOKUP(S20,'DATOS ¬'!$C$177:$R$198,6,FALSE)</f>
        <v>#N/A</v>
      </c>
      <c r="H20" s="1053" t="s">
        <v>422</v>
      </c>
      <c r="I20" s="985" t="e">
        <f>VLOOKUP(S20,'DATOS ¬'!$C$177:$R$198,7,FALSE)</f>
        <v>#N/A</v>
      </c>
      <c r="J20" s="1053" t="s">
        <v>422</v>
      </c>
      <c r="K20" s="983" t="e">
        <f>VLOOKUP(S20,'DATOS ¬'!$C$177:$R$198,16,FALSE)</f>
        <v>#N/A</v>
      </c>
      <c r="L20" s="1053" t="s">
        <v>422</v>
      </c>
      <c r="M20" s="986" t="e">
        <f t="shared" si="0"/>
        <v>#N/A</v>
      </c>
      <c r="N20" s="1053" t="s">
        <v>422</v>
      </c>
      <c r="O20" s="984" t="e">
        <f>VLOOKUP(S20,'DATOS ¬'!$C$177:$R$198,8,FALSE)</f>
        <v>#N/A</v>
      </c>
      <c r="P20" s="1055" t="e">
        <f>VLOOKUP(S20,'DATOS ¬'!$C$177:$R$198,9,FALSE)</f>
        <v>#N/A</v>
      </c>
      <c r="Q20" s="59"/>
      <c r="R20" s="59"/>
      <c r="S20" s="63"/>
    </row>
    <row r="21" spans="1:19" s="3" customFormat="1" ht="30" customHeight="1" x14ac:dyDescent="0.25">
      <c r="A21" s="1794"/>
      <c r="B21" s="263" t="e">
        <f>VLOOKUP(S21,'DATOS ¬'!$C$177:$R$198,3,FALSE)</f>
        <v>#N/A</v>
      </c>
      <c r="C21" s="984" t="e">
        <f>VLOOKUP(S21,'DATOS ¬'!$C$177:$R$198,4,FALSE)</f>
        <v>#N/A</v>
      </c>
      <c r="D21" s="586" t="s">
        <v>422</v>
      </c>
      <c r="E21" s="985" t="e">
        <f>VLOOKUP(S21,'DATOS ¬'!$C$177:$R$198,5,FALSE)</f>
        <v>#N/A</v>
      </c>
      <c r="F21" s="1053" t="s">
        <v>422</v>
      </c>
      <c r="G21" s="985" t="e">
        <f>VLOOKUP(S21,'DATOS ¬'!$C$177:$R$198,6,FALSE)</f>
        <v>#N/A</v>
      </c>
      <c r="H21" s="1053" t="s">
        <v>422</v>
      </c>
      <c r="I21" s="985" t="e">
        <f>VLOOKUP(S21,'DATOS ¬'!$C$177:$R$198,7,FALSE)</f>
        <v>#N/A</v>
      </c>
      <c r="J21" s="1053" t="s">
        <v>422</v>
      </c>
      <c r="K21" s="983" t="e">
        <f>VLOOKUP(S21,'DATOS ¬'!$C$177:$R$198,16,FALSE)</f>
        <v>#N/A</v>
      </c>
      <c r="L21" s="1053" t="s">
        <v>422</v>
      </c>
      <c r="M21" s="986" t="e">
        <f t="shared" si="0"/>
        <v>#N/A</v>
      </c>
      <c r="N21" s="1053" t="s">
        <v>422</v>
      </c>
      <c r="O21" s="984" t="e">
        <f>VLOOKUP(S21,'DATOS ¬'!$C$177:$R$198,8,FALSE)</f>
        <v>#N/A</v>
      </c>
      <c r="P21" s="1055" t="e">
        <f>VLOOKUP(S21,'DATOS ¬'!$C$177:$R$198,9,FALSE)</f>
        <v>#N/A</v>
      </c>
      <c r="Q21" s="59"/>
      <c r="R21" s="59"/>
      <c r="S21" s="63"/>
    </row>
    <row r="22" spans="1:19" s="3" customFormat="1" ht="30" customHeight="1" thickBot="1" x14ac:dyDescent="0.3">
      <c r="A22" s="1795"/>
      <c r="B22" s="263" t="e">
        <f>VLOOKUP(S22,'DATOS ¬'!$C$177:$R$198,3,FALSE)</f>
        <v>#N/A</v>
      </c>
      <c r="C22" s="984" t="e">
        <f>VLOOKUP(S22,'DATOS ¬'!$C$177:$R$198,4,FALSE)</f>
        <v>#N/A</v>
      </c>
      <c r="D22" s="586" t="s">
        <v>422</v>
      </c>
      <c r="E22" s="985" t="e">
        <f>VLOOKUP(S22,'DATOS ¬'!$C$177:$R$198,5,FALSE)</f>
        <v>#N/A</v>
      </c>
      <c r="F22" s="1053" t="s">
        <v>422</v>
      </c>
      <c r="G22" s="985" t="e">
        <f>VLOOKUP(S22,'DATOS ¬'!$C$177:$R$198,6,FALSE)</f>
        <v>#N/A</v>
      </c>
      <c r="H22" s="1053" t="s">
        <v>422</v>
      </c>
      <c r="I22" s="985" t="e">
        <f>VLOOKUP(S22,'DATOS ¬'!$C$177:$R$198,7,FALSE)</f>
        <v>#N/A</v>
      </c>
      <c r="J22" s="1053" t="s">
        <v>422</v>
      </c>
      <c r="K22" s="983" t="e">
        <f>VLOOKUP(S22,'DATOS ¬'!$C$177:$R$198,16,FALSE)</f>
        <v>#N/A</v>
      </c>
      <c r="L22" s="1053" t="s">
        <v>422</v>
      </c>
      <c r="M22" s="986" t="e">
        <f t="shared" si="0"/>
        <v>#N/A</v>
      </c>
      <c r="N22" s="1053" t="s">
        <v>422</v>
      </c>
      <c r="O22" s="984" t="e">
        <f>VLOOKUP(S22,'DATOS ¬'!$C$177:$R$198,8,FALSE)</f>
        <v>#N/A</v>
      </c>
      <c r="P22" s="1055" t="e">
        <f>VLOOKUP(S22,'DATOS ¬'!$C$177:$R$198,9,FALSE)</f>
        <v>#N/A</v>
      </c>
      <c r="Q22" s="59"/>
      <c r="R22" s="59"/>
      <c r="S22" s="63"/>
    </row>
    <row r="23" spans="1:19" s="3" customFormat="1" ht="30" customHeight="1" x14ac:dyDescent="0.25">
      <c r="A23" s="1796" t="s">
        <v>346</v>
      </c>
      <c r="B23" s="263" t="e">
        <f>VLOOKUP(S23,'DATOS ¬'!$C$67:$L$129,3,FALSE)</f>
        <v>#N/A</v>
      </c>
      <c r="C23" s="984" t="e">
        <f>VLOOKUP(S23,'DATOS ¬'!$C$67:$L$129,4,FALSE)</f>
        <v>#N/A</v>
      </c>
      <c r="D23" s="586" t="s">
        <v>35</v>
      </c>
      <c r="E23" s="985" t="e">
        <f>VLOOKUP(S23,'DATOS ¬'!$C$67:$L$129,5,FALSE)</f>
        <v>#N/A</v>
      </c>
      <c r="F23" s="586" t="s">
        <v>35</v>
      </c>
      <c r="G23" s="985" t="e">
        <f>VLOOKUP(S23,'DATOS ¬'!$C$67:$L$129,6,FALSE)</f>
        <v>#N/A</v>
      </c>
      <c r="H23" s="586" t="s">
        <v>35</v>
      </c>
      <c r="I23" s="985" t="e">
        <f>VLOOKUP(S23,'DATOS ¬'!$C$67:$L$129,7,FALSE)</f>
        <v>#N/A</v>
      </c>
      <c r="J23" s="586" t="s">
        <v>35</v>
      </c>
      <c r="K23" s="983"/>
      <c r="L23" s="1053"/>
      <c r="M23" s="999"/>
      <c r="N23" s="1053"/>
      <c r="O23" s="986" t="e">
        <f>VLOOKUP(S23,'DATOS ¬'!$C$67:$L$129,8,FALSE)</f>
        <v>#N/A</v>
      </c>
      <c r="P23" s="1055" t="e">
        <f>VLOOKUP(S23,'DATOS ¬'!$C$67:$L$129,9,FALSE)</f>
        <v>#N/A</v>
      </c>
      <c r="Q23" s="59"/>
      <c r="R23" s="59"/>
      <c r="S23" s="61"/>
    </row>
    <row r="24" spans="1:19" s="3" customFormat="1" ht="30" customHeight="1" x14ac:dyDescent="0.25">
      <c r="A24" s="1794"/>
      <c r="B24" s="263" t="e">
        <f>VLOOKUP(S23,'DATOS ¬'!$C$67:$L$129,3,FALSE)</f>
        <v>#N/A</v>
      </c>
      <c r="C24" s="984" t="e">
        <f>VLOOKUP(S24,'DATOS ¬'!$C$67:$L$129,4,FALSE)</f>
        <v>#N/A</v>
      </c>
      <c r="D24" s="586" t="s">
        <v>35</v>
      </c>
      <c r="E24" s="985" t="e">
        <f>VLOOKUP(S24,'DATOS ¬'!$C$67:$L$129,5,FALSE)</f>
        <v>#N/A</v>
      </c>
      <c r="F24" s="586" t="s">
        <v>35</v>
      </c>
      <c r="G24" s="985" t="e">
        <f>VLOOKUP(S24,'DATOS ¬'!$C$67:$L$129,6,FALSE)</f>
        <v>#N/A</v>
      </c>
      <c r="H24" s="586" t="s">
        <v>35</v>
      </c>
      <c r="I24" s="985" t="e">
        <f>VLOOKUP(S24,'DATOS ¬'!$C$67:$L$129,7,FALSE)</f>
        <v>#N/A</v>
      </c>
      <c r="J24" s="586" t="s">
        <v>35</v>
      </c>
      <c r="K24" s="983"/>
      <c r="L24" s="1053"/>
      <c r="M24" s="999"/>
      <c r="N24" s="1053"/>
      <c r="O24" s="986" t="e">
        <f>VLOOKUP(S24,'DATOS ¬'!$C$67:$L$129,8,FALSE)</f>
        <v>#N/A</v>
      </c>
      <c r="P24" s="1055" t="e">
        <f>VLOOKUP(S24,'DATOS ¬'!$C$67:$L$129,9,FALSE)</f>
        <v>#N/A</v>
      </c>
      <c r="Q24" s="59"/>
      <c r="R24" s="59"/>
      <c r="S24" s="63"/>
    </row>
    <row r="25" spans="1:19" s="3" customFormat="1" ht="30" customHeight="1" x14ac:dyDescent="0.25">
      <c r="A25" s="1794"/>
      <c r="B25" s="263" t="e">
        <f>VLOOKUP(S23,'DATOS ¬'!$C$67:$L$129,3,FALSE)</f>
        <v>#N/A</v>
      </c>
      <c r="C25" s="984" t="e">
        <f>VLOOKUP(S25,'DATOS ¬'!$C$67:$L$129,4,FALSE)</f>
        <v>#N/A</v>
      </c>
      <c r="D25" s="586" t="s">
        <v>35</v>
      </c>
      <c r="E25" s="985" t="e">
        <f>VLOOKUP(S25,'DATOS ¬'!$C$67:$L$129,5,FALSE)</f>
        <v>#N/A</v>
      </c>
      <c r="F25" s="586" t="s">
        <v>35</v>
      </c>
      <c r="G25" s="985" t="e">
        <f>VLOOKUP(S25,'DATOS ¬'!$C$67:$L$129,6,FALSE)</f>
        <v>#N/A</v>
      </c>
      <c r="H25" s="586" t="s">
        <v>35</v>
      </c>
      <c r="I25" s="985" t="e">
        <f>VLOOKUP(S25,'DATOS ¬'!$C$67:$L$129,7,FALSE)</f>
        <v>#N/A</v>
      </c>
      <c r="J25" s="586" t="s">
        <v>35</v>
      </c>
      <c r="K25" s="983"/>
      <c r="L25" s="1053"/>
      <c r="M25" s="999"/>
      <c r="N25" s="1053"/>
      <c r="O25" s="986" t="e">
        <f>VLOOKUP(S25,'DATOS ¬'!$C$67:$L$129,8,FALSE)</f>
        <v>#N/A</v>
      </c>
      <c r="P25" s="1055" t="e">
        <f>VLOOKUP(S25,'DATOS ¬'!$C$67:$L$129,9,FALSE)</f>
        <v>#N/A</v>
      </c>
      <c r="Q25" s="59"/>
      <c r="R25" s="59"/>
      <c r="S25" s="63"/>
    </row>
    <row r="26" spans="1:19" s="3" customFormat="1" ht="30" customHeight="1" x14ac:dyDescent="0.25">
      <c r="A26" s="1794"/>
      <c r="B26" s="263" t="e">
        <f>VLOOKUP(S23,'DATOS ¬'!$C$67:$L$129,3,FALSE)</f>
        <v>#N/A</v>
      </c>
      <c r="C26" s="985" t="e">
        <f>VLOOKUP(S26,'DATOS ¬'!$C$67:$L$129,4,FALSE)</f>
        <v>#N/A</v>
      </c>
      <c r="D26" s="586" t="s">
        <v>178</v>
      </c>
      <c r="E26" s="985" t="e">
        <f>VLOOKUP(S26,'DATOS ¬'!$C$67:$L$129,5,FALSE)</f>
        <v>#N/A</v>
      </c>
      <c r="F26" s="586" t="s">
        <v>178</v>
      </c>
      <c r="G26" s="985" t="e">
        <f>VLOOKUP(S26,'DATOS ¬'!$C$67:$L$129,6,FALSE)</f>
        <v>#N/A</v>
      </c>
      <c r="H26" s="586" t="s">
        <v>178</v>
      </c>
      <c r="I26" s="985" t="e">
        <f>VLOOKUP(S26,'DATOS ¬'!$C$67:$L$129,7,FALSE)</f>
        <v>#N/A</v>
      </c>
      <c r="J26" s="586" t="s">
        <v>178</v>
      </c>
      <c r="K26" s="983"/>
      <c r="L26" s="1053"/>
      <c r="M26" s="999"/>
      <c r="N26" s="1053"/>
      <c r="O26" s="984" t="e">
        <f>VLOOKUP(S26,'DATOS ¬'!$C$67:$L$129,8,FALSE)</f>
        <v>#N/A</v>
      </c>
      <c r="P26" s="1055" t="e">
        <f>VLOOKUP(S26,'DATOS ¬'!$C$67:$L$129,9,FALSE)</f>
        <v>#N/A</v>
      </c>
      <c r="Q26" s="59"/>
      <c r="R26" s="59"/>
      <c r="S26" s="63"/>
    </row>
    <row r="27" spans="1:19" s="3" customFormat="1" ht="30" customHeight="1" x14ac:dyDescent="0.25">
      <c r="A27" s="1794"/>
      <c r="B27" s="263" t="e">
        <f>VLOOKUP(S23,'DATOS ¬'!$C$67:$L$129,3,FALSE)</f>
        <v>#N/A</v>
      </c>
      <c r="C27" s="985" t="e">
        <f>VLOOKUP(S27,'DATOS ¬'!$C$67:$L$129,4,FALSE)</f>
        <v>#N/A</v>
      </c>
      <c r="D27" s="586" t="s">
        <v>178</v>
      </c>
      <c r="E27" s="985" t="e">
        <f>VLOOKUP(S27,'DATOS ¬'!$C$67:$L$129,5,FALSE)</f>
        <v>#N/A</v>
      </c>
      <c r="F27" s="586" t="s">
        <v>178</v>
      </c>
      <c r="G27" s="985" t="e">
        <f>VLOOKUP(S27,'DATOS ¬'!$C$67:$L$129,6,FALSE)</f>
        <v>#N/A</v>
      </c>
      <c r="H27" s="586" t="s">
        <v>178</v>
      </c>
      <c r="I27" s="985" t="e">
        <f>VLOOKUP(S27,'DATOS ¬'!$C$67:$L$129,7,FALSE)</f>
        <v>#N/A</v>
      </c>
      <c r="J27" s="586" t="s">
        <v>178</v>
      </c>
      <c r="K27" s="983"/>
      <c r="L27" s="1053"/>
      <c r="M27" s="999"/>
      <c r="N27" s="1053"/>
      <c r="O27" s="984" t="e">
        <f>VLOOKUP(S27,'DATOS ¬'!$C$67:$L$129,8,FALSE)</f>
        <v>#N/A</v>
      </c>
      <c r="P27" s="1055" t="e">
        <f>VLOOKUP(S27,'DATOS ¬'!$C$67:$L$129,9,FALSE)</f>
        <v>#N/A</v>
      </c>
      <c r="Q27" s="59"/>
      <c r="R27" s="59"/>
      <c r="S27" s="63"/>
    </row>
    <row r="28" spans="1:19" s="3" customFormat="1" ht="30" customHeight="1" x14ac:dyDescent="0.25">
      <c r="A28" s="1794"/>
      <c r="B28" s="263" t="e">
        <f>VLOOKUP(S23,'DATOS ¬'!$C$67:$L$129,3,FALSE)</f>
        <v>#N/A</v>
      </c>
      <c r="C28" s="985" t="e">
        <f>VLOOKUP(S28,'DATOS ¬'!$C$67:$L$129,4,FALSE)</f>
        <v>#N/A</v>
      </c>
      <c r="D28" s="586" t="s">
        <v>178</v>
      </c>
      <c r="E28" s="985" t="e">
        <f>VLOOKUP(S28,'DATOS ¬'!$C$67:$L$129,5,FALSE)</f>
        <v>#N/A</v>
      </c>
      <c r="F28" s="586" t="s">
        <v>178</v>
      </c>
      <c r="G28" s="985" t="e">
        <f>VLOOKUP(S28,'DATOS ¬'!$C$67:$L$129,6,FALSE)</f>
        <v>#N/A</v>
      </c>
      <c r="H28" s="586" t="s">
        <v>178</v>
      </c>
      <c r="I28" s="985" t="e">
        <f>VLOOKUP(S28,'DATOS ¬'!$C$67:$L$129,7,FALSE)</f>
        <v>#N/A</v>
      </c>
      <c r="J28" s="586" t="s">
        <v>178</v>
      </c>
      <c r="K28" s="983"/>
      <c r="L28" s="1053"/>
      <c r="M28" s="999"/>
      <c r="N28" s="1053"/>
      <c r="O28" s="984" t="e">
        <f>VLOOKUP(S28,'DATOS ¬'!$C$67:$L$129,8,FALSE)</f>
        <v>#N/A</v>
      </c>
      <c r="P28" s="1055" t="e">
        <f>VLOOKUP(S28,'DATOS ¬'!$C$67:$L$129,9,FALSE)</f>
        <v>#N/A</v>
      </c>
      <c r="Q28" s="59"/>
      <c r="R28" s="59"/>
      <c r="S28" s="63"/>
    </row>
    <row r="29" spans="1:19" s="3" customFormat="1" ht="30" customHeight="1" x14ac:dyDescent="0.25">
      <c r="A29" s="1794"/>
      <c r="B29" s="263" t="e">
        <f>VLOOKUP(S23,'DATOS ¬'!$C$67:$L$129,3,FALSE)</f>
        <v>#N/A</v>
      </c>
      <c r="C29" s="983" t="e">
        <f>VLOOKUP(S29,'DATOS ¬'!$C$67:$L$129,4,FALSE)</f>
        <v>#N/A</v>
      </c>
      <c r="D29" s="586" t="s">
        <v>423</v>
      </c>
      <c r="E29" s="985" t="e">
        <f>VLOOKUP(S29,'DATOS ¬'!$C$67:$L$129,5,FALSE)</f>
        <v>#N/A</v>
      </c>
      <c r="F29" s="586" t="s">
        <v>423</v>
      </c>
      <c r="G29" s="983" t="e">
        <f>VLOOKUP(S29,'DATOS ¬'!$C$67:$L$129,6,FALSE)</f>
        <v>#N/A</v>
      </c>
      <c r="H29" s="586" t="s">
        <v>423</v>
      </c>
      <c r="I29" s="983" t="e">
        <f>VLOOKUP(S29,'DATOS ¬'!$C$67:$L$129,7,FALSE)</f>
        <v>#N/A</v>
      </c>
      <c r="J29" s="586" t="s">
        <v>423</v>
      </c>
      <c r="K29" s="983"/>
      <c r="L29" s="1053"/>
      <c r="M29" s="999"/>
      <c r="N29" s="1053"/>
      <c r="O29" s="984" t="e">
        <f>VLOOKUP(S29,'DATOS ¬'!$C$67:$L$129,8,FALSE)</f>
        <v>#N/A</v>
      </c>
      <c r="P29" s="1055" t="e">
        <f>VLOOKUP(S29,'DATOS ¬'!$C$67:$L$129,9,FALSE)</f>
        <v>#N/A</v>
      </c>
      <c r="Q29" s="59"/>
      <c r="R29" s="59"/>
      <c r="S29" s="63"/>
    </row>
    <row r="30" spans="1:19" s="3" customFormat="1" ht="30" customHeight="1" x14ac:dyDescent="0.25">
      <c r="A30" s="1794"/>
      <c r="B30" s="263" t="e">
        <f>VLOOKUP(S23,'DATOS ¬'!$C$67:$L$129,3,FALSE)</f>
        <v>#N/A</v>
      </c>
      <c r="C30" s="983" t="e">
        <f>VLOOKUP(S30,'DATOS ¬'!$C$67:$L$129,4,FALSE)</f>
        <v>#N/A</v>
      </c>
      <c r="D30" s="586" t="s">
        <v>423</v>
      </c>
      <c r="E30" s="985" t="e">
        <f>VLOOKUP(S30,'DATOS ¬'!$C$67:$L$129,5,FALSE)</f>
        <v>#N/A</v>
      </c>
      <c r="F30" s="586" t="s">
        <v>423</v>
      </c>
      <c r="G30" s="983" t="e">
        <f>VLOOKUP(S30,'DATOS ¬'!$C$67:$L$129,6,FALSE)</f>
        <v>#N/A</v>
      </c>
      <c r="H30" s="586" t="s">
        <v>423</v>
      </c>
      <c r="I30" s="983" t="e">
        <f>VLOOKUP(S30,'DATOS ¬'!$C$67:$L$129,7,FALSE)</f>
        <v>#N/A</v>
      </c>
      <c r="J30" s="586" t="s">
        <v>423</v>
      </c>
      <c r="K30" s="983"/>
      <c r="L30" s="1053"/>
      <c r="M30" s="999"/>
      <c r="N30" s="1053"/>
      <c r="O30" s="984" t="e">
        <f>VLOOKUP(S30,'DATOS ¬'!$C$67:$L$129,8,FALSE)</f>
        <v>#N/A</v>
      </c>
      <c r="P30" s="1055" t="e">
        <f>VLOOKUP(S30,'DATOS ¬'!$C$67:$L$129,9,FALSE)</f>
        <v>#N/A</v>
      </c>
      <c r="Q30" s="59"/>
      <c r="R30" s="59"/>
      <c r="S30" s="63"/>
    </row>
    <row r="31" spans="1:19" s="3" customFormat="1" ht="30" customHeight="1" thickBot="1" x14ac:dyDescent="0.3">
      <c r="A31" s="1795"/>
      <c r="B31" s="263" t="e">
        <f>VLOOKUP(S23,'DATOS ¬'!$C$67:$L$129,3,FALSE)</f>
        <v>#N/A</v>
      </c>
      <c r="C31" s="983" t="e">
        <f>VLOOKUP(S31,'DATOS ¬'!$C$67:$L$129,4,FALSE)</f>
        <v>#N/A</v>
      </c>
      <c r="D31" s="586" t="s">
        <v>423</v>
      </c>
      <c r="E31" s="985" t="e">
        <f>VLOOKUP(S31,'DATOS ¬'!$C$67:$L$129,5,FALSE)</f>
        <v>#N/A</v>
      </c>
      <c r="F31" s="586" t="s">
        <v>423</v>
      </c>
      <c r="G31" s="983" t="e">
        <f>VLOOKUP(S31,'DATOS ¬'!$C$67:$L$129,6,FALSE)</f>
        <v>#N/A</v>
      </c>
      <c r="H31" s="586" t="s">
        <v>423</v>
      </c>
      <c r="I31" s="983" t="e">
        <f>VLOOKUP(S31,'DATOS ¬'!$C$67:$L$129,7,FALSE)</f>
        <v>#N/A</v>
      </c>
      <c r="J31" s="586" t="s">
        <v>423</v>
      </c>
      <c r="K31" s="983"/>
      <c r="L31" s="1053"/>
      <c r="M31" s="999"/>
      <c r="N31" s="1053"/>
      <c r="O31" s="984" t="e">
        <f>VLOOKUP(S31,'DATOS ¬'!$C$67:$L$129,8,FALSE)</f>
        <v>#N/A</v>
      </c>
      <c r="P31" s="1055" t="e">
        <f>VLOOKUP(S31,'DATOS ¬'!$C$67:$L$129,9,FALSE)</f>
        <v>#N/A</v>
      </c>
      <c r="Q31" s="59"/>
      <c r="R31" s="59"/>
      <c r="S31" s="64"/>
    </row>
    <row r="32" spans="1:19" s="3" customFormat="1" ht="30" customHeight="1" thickBot="1" x14ac:dyDescent="0.35">
      <c r="A32" s="1118" t="s">
        <v>424</v>
      </c>
      <c r="B32" s="263" t="e">
        <f>VLOOKUP(S32,'DATOS ¬'!$C$209:$R$212,3,FALSE)</f>
        <v>#N/A</v>
      </c>
      <c r="C32" s="983" t="e">
        <f>VLOOKUP(S32,'DATOS ¬'!$C$209:$R$212,4,FALSE)</f>
        <v>#N/A</v>
      </c>
      <c r="D32" s="586"/>
      <c r="E32" s="990" t="e">
        <f>VLOOKUP(S32,'DATOS ¬'!$C$209:$R$212,5,FALSE)</f>
        <v>#N/A</v>
      </c>
      <c r="F32" s="586" t="s">
        <v>419</v>
      </c>
      <c r="G32" s="983" t="e">
        <f>VLOOKUP(S32,'DATOS ¬'!$C$209:$R$212,6,FALSE)</f>
        <v>#N/A</v>
      </c>
      <c r="H32" s="586"/>
      <c r="I32" s="997" t="e">
        <f>VLOOKUP(S32,'DATOS ¬'!$C$209:$R$212,7,FALSE)</f>
        <v>#N/A</v>
      </c>
      <c r="J32" s="586" t="s">
        <v>419</v>
      </c>
      <c r="K32" s="983"/>
      <c r="L32" s="1053"/>
      <c r="M32" s="999"/>
      <c r="N32" s="1053"/>
      <c r="O32" s="984" t="e">
        <f>VLOOKUP(S32,'DATOS ¬'!$C$209:$R$212,8,FALSE)</f>
        <v>#N/A</v>
      </c>
      <c r="P32" s="1055" t="e">
        <f>VLOOKUP(S32,'DATOS ¬'!$C$209:$R$212,9,FALSE)</f>
        <v>#N/A</v>
      </c>
      <c r="Q32" s="59"/>
      <c r="R32" s="60"/>
      <c r="S32" s="65"/>
    </row>
    <row r="33" spans="1:19" s="3" customFormat="1" ht="81" customHeight="1" thickBot="1" x14ac:dyDescent="0.3">
      <c r="A33" s="1120" t="s">
        <v>425</v>
      </c>
      <c r="B33" s="263" t="e">
        <f>VLOOKUP(S33,'DATOS ¬'!$C$132:$W$138,3,FALSE)</f>
        <v>#N/A</v>
      </c>
      <c r="C33" s="986" t="e">
        <f>VLOOKUP(S33,'DATOS ¬'!$C$132:$W$138,4,FALSE)</f>
        <v>#N/A</v>
      </c>
      <c r="D33" s="586" t="s">
        <v>203</v>
      </c>
      <c r="E33" s="986" t="e">
        <f>VLOOKUP(S33,'DATOS ¬'!$C$132:$W$138,5,FALSE)</f>
        <v>#N/A</v>
      </c>
      <c r="F33" s="586" t="s">
        <v>203</v>
      </c>
      <c r="G33" s="986" t="e">
        <f>VLOOKUP(S33,'DATOS ¬'!$C$132:$W$138,6,FALSE)</f>
        <v>#N/A</v>
      </c>
      <c r="H33" s="586" t="s">
        <v>203</v>
      </c>
      <c r="I33" s="986" t="e">
        <f>VLOOKUP(S33,'DATOS ¬'!$C$132:$W$138,7,FALSE)</f>
        <v>#N/A</v>
      </c>
      <c r="J33" s="586" t="s">
        <v>203</v>
      </c>
      <c r="K33" s="991" t="e">
        <f>VLOOKUP(S33,'DATOS ¬'!$C$132:$W$138,21,FALSE)</f>
        <v>#N/A</v>
      </c>
      <c r="L33" s="586" t="s">
        <v>203</v>
      </c>
      <c r="M33" s="999" t="e">
        <f>SQRT((I33/2)^2+(K33/SQRT(12))^2)</f>
        <v>#N/A</v>
      </c>
      <c r="N33" s="586" t="s">
        <v>203</v>
      </c>
      <c r="O33" s="984" t="e">
        <f>VLOOKUP(S33,'DATOS ¬'!$C$132:$W$138,8,FALSE)</f>
        <v>#N/A</v>
      </c>
      <c r="P33" s="1055" t="e">
        <f>VLOOKUP(S33,'DATOS ¬'!$C$132:$W$138,9,FALSE)</f>
        <v>#N/A</v>
      </c>
      <c r="Q33" s="671" t="s">
        <v>426</v>
      </c>
      <c r="R33" s="66" t="s">
        <v>427</v>
      </c>
      <c r="S33" s="67"/>
    </row>
    <row r="34" spans="1:19" s="3" customFormat="1" ht="30" customHeight="1" x14ac:dyDescent="0.25">
      <c r="A34" s="1120" t="s">
        <v>428</v>
      </c>
      <c r="B34" s="1722" t="e">
        <f>VLOOKUP(S34,'DATOS ¬'!$C$141:$AA$148,3,FALSE)</f>
        <v>#N/A</v>
      </c>
      <c r="C34" s="1723" t="e">
        <f>VLOOKUP(S34,'DATOS ¬'!$C$141:$AA$148,4,FALSE)</f>
        <v>#N/A</v>
      </c>
      <c r="D34" s="1708" t="s">
        <v>203</v>
      </c>
      <c r="E34" s="1721" t="e">
        <f>VLOOKUP(S34,'DATOS ¬'!$C$141:$AA$148,5,FALSE)</f>
        <v>#N/A</v>
      </c>
      <c r="F34" s="1708" t="s">
        <v>203</v>
      </c>
      <c r="G34" s="1723" t="e">
        <f>VLOOKUP(S34,'DATOS ¬'!$C$141:$AA$148,6,FALSE)</f>
        <v>#N/A</v>
      </c>
      <c r="H34" s="1708" t="s">
        <v>203</v>
      </c>
      <c r="I34" s="1721" t="e">
        <f>VLOOKUP(S34,'DATOS ¬'!$C$141:$AA$148,7,FALSE)</f>
        <v>#N/A</v>
      </c>
      <c r="J34" s="1708" t="s">
        <v>203</v>
      </c>
      <c r="K34" s="1723" t="e">
        <f>VLOOKUP(S34,'DATOS ¬'!$C$141:$AA$148,25,FALSE)</f>
        <v>#N/A</v>
      </c>
      <c r="L34" s="1720" t="s">
        <v>203</v>
      </c>
      <c r="M34" s="1747" t="e">
        <f>SQRT((I34/2)^2+(K34/SQRT(12))^2)</f>
        <v>#N/A</v>
      </c>
      <c r="N34" s="1720" t="s">
        <v>203</v>
      </c>
      <c r="O34" s="1721" t="e">
        <f>VLOOKUP(S34,'DATOS ¬'!$C$141:$AA$148,8,FALSE)</f>
        <v>#N/A</v>
      </c>
      <c r="P34" s="1746" t="e">
        <f>VLOOKUP(S34,'DATOS ¬'!$C$141:$AA$148,9,FALSE)</f>
        <v>#N/A</v>
      </c>
      <c r="Q34" s="793" t="e">
        <f>VLOOKUP(S34,'DATOS ¬'!$C$141:$AA$148,12,FALSE)</f>
        <v>#N/A</v>
      </c>
      <c r="R34" s="794" t="e">
        <f>VLOOKUP(S34,'DATOS ¬'!$C$141:$AA$148,14,FALSE)</f>
        <v>#N/A</v>
      </c>
      <c r="S34" s="1713"/>
    </row>
    <row r="35" spans="1:19" s="3" customFormat="1" ht="30" customHeight="1" thickBot="1" x14ac:dyDescent="0.3">
      <c r="A35" s="1119"/>
      <c r="B35" s="1722"/>
      <c r="C35" s="1723"/>
      <c r="D35" s="1708"/>
      <c r="E35" s="1721"/>
      <c r="F35" s="1708"/>
      <c r="G35" s="1723"/>
      <c r="H35" s="1708"/>
      <c r="I35" s="1721"/>
      <c r="J35" s="1708"/>
      <c r="K35" s="1723"/>
      <c r="L35" s="1720"/>
      <c r="M35" s="1747"/>
      <c r="N35" s="1720"/>
      <c r="O35" s="1721"/>
      <c r="P35" s="1746"/>
      <c r="Q35" s="795" t="e">
        <f>VLOOKUP(S34,'DATOS ¬'!$C$141:$AA$148,13,FALSE)</f>
        <v>#N/A</v>
      </c>
      <c r="R35" s="796" t="e">
        <f>VLOOKUP(S34,'DATOS ¬'!$C$141:$AA$148,15,FALSE)</f>
        <v>#N/A</v>
      </c>
      <c r="S35" s="1714"/>
    </row>
    <row r="36" spans="1:19" s="4" customFormat="1" ht="27.75" customHeight="1" thickBot="1" x14ac:dyDescent="0.3">
      <c r="A36" s="1121" t="s">
        <v>429</v>
      </c>
      <c r="B36" s="263" t="e">
        <f>VLOOKUP(S36,'DATOS ¬'!$C$151:$K$152,3,FALSE)</f>
        <v>#N/A</v>
      </c>
      <c r="C36" s="984" t="e">
        <f>VLOOKUP(S36,'DATOS ¬'!$C$151:$K$152,4,FALSE)</f>
        <v>#N/A</v>
      </c>
      <c r="D36" s="586" t="s">
        <v>430</v>
      </c>
      <c r="E36" s="991" t="e">
        <f>VLOOKUP(S36,'DATOS ¬'!$C$151:$K$152,5,FALSE)</f>
        <v>#N/A</v>
      </c>
      <c r="F36" s="586" t="s">
        <v>430</v>
      </c>
      <c r="G36" s="994" t="e">
        <f>VLOOKUP(S36,'DATOS ¬'!$C$151:$K$152,6,FALSE)</f>
        <v>#N/A</v>
      </c>
      <c r="H36" s="586" t="s">
        <v>430</v>
      </c>
      <c r="I36" s="994" t="e">
        <f>VLOOKUP(S36,'DATOS ¬'!$C$151:$K$152,7,FALSE)</f>
        <v>#N/A</v>
      </c>
      <c r="J36" s="586" t="s">
        <v>430</v>
      </c>
      <c r="K36" s="1068" t="e">
        <f>(I36/2)/SQRT(12)</f>
        <v>#N/A</v>
      </c>
      <c r="L36" s="586" t="s">
        <v>430</v>
      </c>
      <c r="M36" s="999" t="e">
        <f>SQRT((I36/2)^2+(K36)^2)</f>
        <v>#N/A</v>
      </c>
      <c r="N36" s="254" t="s">
        <v>430</v>
      </c>
      <c r="O36" s="985" t="e">
        <f>VLOOKUP(S36,'DATOS ¬'!$C$151:$K$152,8,FALSE)</f>
        <v>#N/A</v>
      </c>
      <c r="P36" s="1055" t="e">
        <f>VLOOKUP(S36,'DATOS ¬'!$C$151:$K$152,9,FALSE)</f>
        <v>#N/A</v>
      </c>
      <c r="Q36" s="50"/>
      <c r="R36" s="68"/>
      <c r="S36" s="58"/>
    </row>
    <row r="37" spans="1:19" s="3" customFormat="1" ht="30" customHeight="1" thickBot="1" x14ac:dyDescent="0.35">
      <c r="A37" s="1122" t="s">
        <v>431</v>
      </c>
      <c r="B37" s="268" t="e">
        <f>VLOOKUP(S37,'DATOS ¬'!$C$157:$K$172,3,FALSE)</f>
        <v>#N/A</v>
      </c>
      <c r="C37" s="988" t="e">
        <f>VLOOKUP(S37,'DATOS ¬'!$C$157:$K$172,4,FALSE)</f>
        <v>#N/A</v>
      </c>
      <c r="D37" s="489" t="s">
        <v>432</v>
      </c>
      <c r="E37" s="992" t="e">
        <f>VLOOKUP(S37,'DATOS ¬'!$C$157:$K$172,5,FALSE)</f>
        <v>#N/A</v>
      </c>
      <c r="F37" s="489" t="s">
        <v>432</v>
      </c>
      <c r="G37" s="995" t="e">
        <f>VLOOKUP(S37,'DATOS ¬'!$C$157:$K$172,6,FALSE)</f>
        <v>#N/A</v>
      </c>
      <c r="H37" s="489" t="s">
        <v>432</v>
      </c>
      <c r="I37" s="998" t="e">
        <f>VLOOKUP(S37,'DATOS ¬'!$C$157:$K$172,7,FALSE)</f>
        <v>#N/A</v>
      </c>
      <c r="J37" s="489" t="s">
        <v>432</v>
      </c>
      <c r="K37" s="1069" t="e">
        <f>(I37/2)/SQRT(12)</f>
        <v>#N/A</v>
      </c>
      <c r="L37" s="489" t="s">
        <v>432</v>
      </c>
      <c r="M37" s="1000" t="e">
        <f>SQRT((I37/2)^2+(K37)^2)</f>
        <v>#N/A</v>
      </c>
      <c r="N37" s="489" t="s">
        <v>432</v>
      </c>
      <c r="O37" s="988" t="e">
        <f>VLOOKUP(S37,'DATOS ¬'!$C$157:$K$172,8,FALSE)</f>
        <v>#N/A</v>
      </c>
      <c r="P37" s="1057" t="e">
        <f>VLOOKUP(S37,'DATOS ¬'!$C$157:$K$172,9,FALSE)</f>
        <v>#N/A</v>
      </c>
      <c r="Q37" s="551"/>
      <c r="R37" s="69"/>
      <c r="S37" s="64"/>
    </row>
    <row r="38" spans="1:19" s="3" customFormat="1" ht="30" customHeight="1" thickBot="1" x14ac:dyDescent="0.35">
      <c r="A38" s="70"/>
      <c r="B38" s="71"/>
      <c r="C38" s="71"/>
      <c r="D38" s="72"/>
      <c r="E38" s="73"/>
      <c r="F38" s="72"/>
      <c r="G38" s="74"/>
      <c r="H38" s="72"/>
      <c r="I38" s="75"/>
      <c r="J38" s="72"/>
      <c r="K38" s="76"/>
      <c r="L38" s="72"/>
      <c r="M38" s="50"/>
      <c r="N38" s="72"/>
      <c r="O38" s="71"/>
      <c r="P38" s="77"/>
      <c r="Q38" s="50"/>
      <c r="R38" s="50"/>
      <c r="S38" s="78"/>
    </row>
    <row r="39" spans="1:19" s="3" customFormat="1" ht="30" customHeight="1" thickBot="1" x14ac:dyDescent="0.3">
      <c r="A39" s="1691" t="s">
        <v>433</v>
      </c>
      <c r="B39" s="1693"/>
      <c r="C39" s="1693"/>
      <c r="D39" s="1693"/>
      <c r="E39" s="53"/>
      <c r="F39" s="79"/>
      <c r="G39" s="74"/>
      <c r="H39" s="72"/>
      <c r="I39" s="75"/>
      <c r="J39" s="72"/>
      <c r="K39" s="76"/>
      <c r="L39" s="72"/>
      <c r="M39" s="50"/>
      <c r="N39" s="72"/>
      <c r="O39" s="71"/>
      <c r="P39" s="77"/>
      <c r="Q39" s="50"/>
      <c r="R39" s="50"/>
      <c r="S39" s="78"/>
    </row>
    <row r="40" spans="1:19" s="3" customFormat="1" ht="30" customHeight="1" thickBot="1" x14ac:dyDescent="0.3">
      <c r="A40" s="235" t="s">
        <v>434</v>
      </c>
      <c r="B40" s="851"/>
      <c r="C40" s="1680" t="s">
        <v>435</v>
      </c>
      <c r="D40" s="1682"/>
      <c r="E40" s="52"/>
      <c r="F40" s="72"/>
      <c r="G40" s="74"/>
      <c r="H40" s="72"/>
      <c r="I40" s="75"/>
      <c r="J40" s="72"/>
      <c r="K40" s="76"/>
      <c r="L40" s="72"/>
      <c r="M40" s="50"/>
      <c r="N40" s="72"/>
      <c r="O40" s="71"/>
      <c r="P40" s="77"/>
      <c r="Q40" s="50"/>
      <c r="R40" s="50"/>
      <c r="S40" s="78"/>
    </row>
    <row r="41" spans="1:19" s="3" customFormat="1" ht="30" customHeight="1" thickBot="1" x14ac:dyDescent="0.3">
      <c r="A41" s="1724" t="s">
        <v>24</v>
      </c>
      <c r="B41" s="1725"/>
      <c r="C41" s="1728" t="e">
        <f>VLOOKUP($E$41,'DATOS ¬'!$B$14:$N$16,2,FALSE)</f>
        <v>#N/A</v>
      </c>
      <c r="D41" s="1729"/>
      <c r="E41" s="80"/>
      <c r="F41" s="72"/>
      <c r="G41" s="74"/>
      <c r="H41" s="72"/>
      <c r="I41" s="75"/>
      <c r="J41" s="72"/>
      <c r="K41" s="76"/>
      <c r="L41" s="72"/>
      <c r="M41" s="50"/>
      <c r="N41" s="72"/>
      <c r="O41" s="71"/>
      <c r="P41" s="77"/>
      <c r="Q41" s="50"/>
      <c r="R41" s="50"/>
      <c r="S41" s="78"/>
    </row>
    <row r="42" spans="1:19" s="3" customFormat="1" ht="30" customHeight="1" thickBot="1" x14ac:dyDescent="0.3">
      <c r="A42" s="1724" t="s">
        <v>25</v>
      </c>
      <c r="B42" s="1725"/>
      <c r="C42" s="1797" t="e">
        <f>VLOOKUP($E$41,'DATOS ¬'!$B$14:$N$16,3,FALSE)</f>
        <v>#N/A</v>
      </c>
      <c r="D42" s="1798"/>
      <c r="E42" s="52"/>
      <c r="F42" s="72"/>
      <c r="G42" s="74"/>
      <c r="H42" s="72"/>
      <c r="I42" s="75"/>
      <c r="J42" s="72"/>
      <c r="K42" s="76"/>
      <c r="L42" s="72"/>
      <c r="M42" s="50"/>
      <c r="N42" s="72"/>
      <c r="O42" s="71"/>
      <c r="P42" s="77"/>
      <c r="Q42" s="50"/>
      <c r="R42" s="50"/>
      <c r="S42" s="78"/>
    </row>
    <row r="43" spans="1:19" s="3" customFormat="1" ht="30" customHeight="1" thickBot="1" x14ac:dyDescent="0.3">
      <c r="A43" s="1724" t="s">
        <v>436</v>
      </c>
      <c r="B43" s="1725"/>
      <c r="C43" s="1730" t="e">
        <f>VLOOKUP($E$41,'DATOS ¬'!$B$14:$N$16,4,FALSE)</f>
        <v>#N/A</v>
      </c>
      <c r="D43" s="1731"/>
      <c r="E43" s="52"/>
      <c r="F43" s="72"/>
      <c r="G43" s="74"/>
      <c r="H43" s="72"/>
      <c r="I43" s="75"/>
      <c r="J43" s="72"/>
      <c r="K43" s="76"/>
      <c r="L43" s="72"/>
      <c r="M43" s="50"/>
      <c r="N43" s="72"/>
      <c r="O43" s="71"/>
      <c r="P43" s="77"/>
      <c r="Q43" s="50"/>
      <c r="R43" s="50"/>
      <c r="S43" s="78"/>
    </row>
    <row r="44" spans="1:19" s="3" customFormat="1" ht="30" customHeight="1" thickBot="1" x14ac:dyDescent="0.3">
      <c r="A44" s="1724" t="s">
        <v>437</v>
      </c>
      <c r="B44" s="1725"/>
      <c r="C44" s="529" t="e">
        <f>VLOOKUP($E$41,'DATOS ¬'!$B$14:$N$16,5,FALSE)</f>
        <v>#N/A</v>
      </c>
      <c r="D44" s="594" t="s">
        <v>35</v>
      </c>
      <c r="E44" s="52"/>
      <c r="F44" s="72"/>
      <c r="G44" s="74"/>
      <c r="H44" s="72"/>
      <c r="I44" s="75"/>
      <c r="J44" s="72"/>
      <c r="K44" s="76"/>
      <c r="L44" s="72"/>
      <c r="M44" s="50"/>
      <c r="N44" s="72"/>
      <c r="O44" s="71"/>
      <c r="P44" s="77"/>
      <c r="Q44" s="50"/>
      <c r="R44" s="50"/>
      <c r="S44" s="78"/>
    </row>
    <row r="45" spans="1:19" s="3" customFormat="1" ht="30" customHeight="1" thickBot="1" x14ac:dyDescent="0.3">
      <c r="A45" s="1724" t="s">
        <v>438</v>
      </c>
      <c r="B45" s="1725"/>
      <c r="C45" s="529" t="e">
        <f>VLOOKUP($E$41,'DATOS ¬'!$B$14:$N$16,6,FALSE)</f>
        <v>#N/A</v>
      </c>
      <c r="D45" s="304">
        <f>'DATOS ¬'!G14</f>
        <v>0</v>
      </c>
      <c r="E45" s="53"/>
      <c r="F45" s="53"/>
      <c r="G45" s="74"/>
      <c r="H45" s="72"/>
      <c r="I45" s="75"/>
      <c r="J45" s="72"/>
      <c r="K45" s="76"/>
      <c r="L45" s="72"/>
      <c r="M45" s="50"/>
      <c r="N45" s="72"/>
      <c r="O45" s="71"/>
      <c r="P45" s="77"/>
      <c r="Q45" s="50"/>
      <c r="R45" s="50"/>
      <c r="S45" s="78"/>
    </row>
    <row r="46" spans="1:19" s="3" customFormat="1" ht="30" customHeight="1" thickBot="1" x14ac:dyDescent="0.3">
      <c r="A46" s="1724" t="s">
        <v>439</v>
      </c>
      <c r="B46" s="1725"/>
      <c r="C46" s="1070" t="e">
        <f>VLOOKUP($E$41,'DATOS ¬'!$B$14:$N$16,7,FALSE)</f>
        <v>#N/A</v>
      </c>
      <c r="D46" s="594" t="s">
        <v>203</v>
      </c>
      <c r="E46" s="52"/>
      <c r="F46" s="72"/>
      <c r="G46" s="74"/>
      <c r="H46" s="72"/>
      <c r="I46" s="75"/>
      <c r="J46" s="72"/>
      <c r="K46" s="76"/>
      <c r="L46" s="72"/>
      <c r="M46" s="50"/>
      <c r="N46" s="72"/>
      <c r="O46" s="71"/>
      <c r="P46" s="77"/>
      <c r="Q46" s="50"/>
      <c r="R46" s="50"/>
      <c r="S46" s="78"/>
    </row>
    <row r="47" spans="1:19" s="3" customFormat="1" ht="30" customHeight="1" thickBot="1" x14ac:dyDescent="0.3">
      <c r="A47" s="1724" t="s">
        <v>440</v>
      </c>
      <c r="B47" s="1725"/>
      <c r="C47" s="529" t="e">
        <f>VLOOKUP($E$41,'DATOS ¬'!$B$14:$N$16,8,FALSE)</f>
        <v>#N/A</v>
      </c>
      <c r="D47" s="594" t="s">
        <v>203</v>
      </c>
      <c r="E47" s="52"/>
      <c r="F47" s="72"/>
      <c r="G47" s="74"/>
      <c r="H47" s="72"/>
      <c r="I47" s="75"/>
      <c r="J47" s="72"/>
      <c r="K47" s="76"/>
      <c r="L47" s="72"/>
      <c r="M47" s="50"/>
      <c r="N47" s="72"/>
      <c r="O47" s="71"/>
      <c r="P47" s="77"/>
      <c r="Q47" s="50"/>
      <c r="R47" s="50"/>
      <c r="S47" s="78"/>
    </row>
    <row r="48" spans="1:19" s="3" customFormat="1" ht="30" customHeight="1" thickBot="1" x14ac:dyDescent="0.3">
      <c r="A48" s="1724" t="s">
        <v>441</v>
      </c>
      <c r="B48" s="1725"/>
      <c r="C48" s="529" t="e">
        <f>VLOOKUP($E$41,'DATOS ¬'!$B$14:$N$16,9,FALSE)</f>
        <v>#N/A</v>
      </c>
      <c r="D48" s="594" t="s">
        <v>442</v>
      </c>
      <c r="E48" s="52"/>
      <c r="F48" s="72"/>
      <c r="G48" s="74"/>
      <c r="H48" s="72"/>
      <c r="I48" s="75"/>
      <c r="J48" s="72"/>
      <c r="K48" s="76"/>
      <c r="L48" s="72"/>
      <c r="M48" s="50"/>
      <c r="N48" s="72"/>
      <c r="O48" s="71"/>
      <c r="P48" s="77"/>
      <c r="Q48" s="50"/>
      <c r="R48" s="50"/>
      <c r="S48" s="78"/>
    </row>
    <row r="49" spans="1:20" s="3" customFormat="1" ht="30" customHeight="1" thickBot="1" x14ac:dyDescent="0.3">
      <c r="A49" s="1724" t="s">
        <v>443</v>
      </c>
      <c r="B49" s="1725"/>
      <c r="C49" s="529" t="e">
        <f>VLOOKUP($E$41,'DATOS ¬'!$B$14:$N$16,10,FALSE)</f>
        <v>#N/A</v>
      </c>
      <c r="D49" s="594" t="s">
        <v>444</v>
      </c>
      <c r="E49" s="52"/>
      <c r="F49" s="72"/>
      <c r="G49" s="74"/>
      <c r="H49" s="72"/>
      <c r="I49" s="75"/>
      <c r="J49" s="72"/>
      <c r="K49" s="76"/>
      <c r="L49" s="72"/>
      <c r="M49" s="50"/>
      <c r="N49" s="72"/>
      <c r="O49" s="71"/>
      <c r="P49" s="77"/>
      <c r="Q49" s="50"/>
      <c r="R49" s="50"/>
      <c r="S49" s="78"/>
      <c r="T49" s="1182"/>
    </row>
    <row r="50" spans="1:20" s="3" customFormat="1" ht="30" customHeight="1" thickBot="1" x14ac:dyDescent="0.3">
      <c r="A50" s="1724" t="s">
        <v>445</v>
      </c>
      <c r="B50" s="1725"/>
      <c r="C50" s="529" t="e">
        <f>VLOOKUP($E$41,'DATOS ¬'!$B$14:$N$16,11,FALSE)</f>
        <v>#N/A</v>
      </c>
      <c r="D50" s="594" t="s">
        <v>444</v>
      </c>
      <c r="E50" s="52"/>
      <c r="F50" s="72"/>
      <c r="G50" s="74"/>
      <c r="H50" s="72"/>
      <c r="I50" s="75"/>
      <c r="J50" s="72"/>
      <c r="K50" s="76"/>
      <c r="L50" s="72"/>
      <c r="M50" s="50"/>
      <c r="N50" s="72"/>
      <c r="O50" s="71"/>
      <c r="P50" s="77"/>
      <c r="Q50" s="50"/>
      <c r="R50" s="50"/>
      <c r="S50" s="78"/>
      <c r="T50" s="1182"/>
    </row>
    <row r="51" spans="1:20" s="3" customFormat="1" ht="39.75" customHeight="1" thickBot="1" x14ac:dyDescent="0.3">
      <c r="A51" s="1726" t="s">
        <v>446</v>
      </c>
      <c r="B51" s="1727"/>
      <c r="C51" s="1004">
        <f>'DATOS ¬'!M25</f>
        <v>9.9000000000000001E-6</v>
      </c>
      <c r="D51" s="594" t="s">
        <v>442</v>
      </c>
      <c r="E51" s="52"/>
      <c r="F51" s="72"/>
      <c r="G51" s="74"/>
      <c r="H51" s="72"/>
      <c r="I51" s="75"/>
      <c r="J51" s="72"/>
      <c r="K51" s="76"/>
      <c r="L51" s="72"/>
      <c r="M51" s="50"/>
      <c r="N51" s="72"/>
      <c r="O51" s="71"/>
      <c r="P51" s="77"/>
      <c r="Q51" s="50"/>
      <c r="R51" s="50"/>
      <c r="S51" s="78"/>
      <c r="T51" s="1182"/>
    </row>
    <row r="52" spans="1:20" s="3" customFormat="1" ht="30" customHeight="1" thickBot="1" x14ac:dyDescent="0.3">
      <c r="A52" s="53"/>
      <c r="B52" s="53"/>
      <c r="C52" s="532" t="e">
        <f>IF(C45=0.5,1892.706,IF(C45=5,18927.06,IF(C45=20,20000,IF(C45=2,2000))))</f>
        <v>#N/A</v>
      </c>
      <c r="D52" s="1005" t="s">
        <v>203</v>
      </c>
      <c r="E52" s="53"/>
      <c r="F52" s="53"/>
      <c r="G52" s="53"/>
      <c r="H52" s="53"/>
      <c r="I52" s="53"/>
      <c r="J52" s="53"/>
      <c r="K52" s="53"/>
      <c r="L52" s="53"/>
      <c r="M52" s="53"/>
      <c r="N52" s="53"/>
      <c r="O52" s="53"/>
      <c r="P52" s="53"/>
      <c r="Q52" s="53"/>
      <c r="R52" s="53"/>
      <c r="S52" s="53"/>
      <c r="T52" s="1182"/>
    </row>
    <row r="53" spans="1:20" s="3" customFormat="1" ht="30" customHeight="1" thickBot="1" x14ac:dyDescent="0.3">
      <c r="A53" s="1696" t="s">
        <v>447</v>
      </c>
      <c r="B53" s="1752"/>
      <c r="C53" s="310"/>
      <c r="D53" s="81"/>
      <c r="E53" s="53"/>
      <c r="F53" s="53"/>
      <c r="G53" s="53"/>
      <c r="H53" s="53"/>
      <c r="I53" s="53"/>
      <c r="J53" s="53"/>
      <c r="K53" s="53"/>
      <c r="L53" s="53"/>
      <c r="M53" s="53"/>
      <c r="N53" s="53"/>
      <c r="O53" s="53"/>
      <c r="P53" s="53"/>
      <c r="Q53" s="53"/>
      <c r="R53" s="53"/>
      <c r="S53" s="53"/>
      <c r="T53" s="1182"/>
    </row>
    <row r="54" spans="1:20" s="3" customFormat="1" ht="30" customHeight="1" thickBot="1" x14ac:dyDescent="0.3">
      <c r="A54" s="53"/>
      <c r="B54" s="53"/>
      <c r="C54" s="53"/>
      <c r="D54" s="53"/>
      <c r="E54" s="53"/>
      <c r="F54" s="53"/>
      <c r="G54" s="53"/>
      <c r="H54" s="53"/>
      <c r="I54" s="53"/>
      <c r="J54" s="53"/>
      <c r="K54" s="53"/>
      <c r="L54" s="53"/>
      <c r="M54" s="53"/>
      <c r="N54" s="53"/>
      <c r="O54" s="53"/>
      <c r="P54" s="53"/>
      <c r="Q54" s="53"/>
      <c r="R54" s="53"/>
      <c r="S54" s="53"/>
      <c r="T54" s="1183"/>
    </row>
    <row r="55" spans="1:20" s="3" customFormat="1" ht="30" customHeight="1" thickBot="1" x14ac:dyDescent="0.3">
      <c r="A55" s="1680" t="s">
        <v>448</v>
      </c>
      <c r="B55" s="1715"/>
      <c r="C55" s="1716" t="e">
        <f>VLOOKUP(G55,'DATOS ¬'!P9:R13,2,FALSE)</f>
        <v>#N/A</v>
      </c>
      <c r="D55" s="1717"/>
      <c r="E55" s="1717"/>
      <c r="F55" s="1718"/>
      <c r="G55" s="56"/>
      <c r="H55" s="53"/>
      <c r="I55" s="53"/>
      <c r="J55" s="53"/>
      <c r="K55" s="53"/>
      <c r="L55" s="53"/>
      <c r="M55" s="53"/>
      <c r="N55" s="53"/>
      <c r="O55" s="53"/>
      <c r="P55" s="53"/>
      <c r="Q55" s="53"/>
      <c r="R55" s="53"/>
      <c r="S55" s="53"/>
      <c r="T55" s="1182"/>
    </row>
    <row r="56" spans="1:20" s="3" customFormat="1" ht="30" customHeight="1" x14ac:dyDescent="0.25">
      <c r="A56" s="53"/>
      <c r="B56" s="53"/>
      <c r="C56" s="53"/>
      <c r="D56" s="53"/>
      <c r="E56" s="53"/>
      <c r="F56" s="53"/>
      <c r="G56" s="53"/>
      <c r="H56" s="53"/>
      <c r="I56" s="53"/>
      <c r="J56" s="53"/>
      <c r="K56" s="53"/>
      <c r="L56" s="53"/>
      <c r="M56" s="53"/>
      <c r="N56" s="53"/>
      <c r="O56" s="53"/>
      <c r="P56" s="53"/>
      <c r="Q56" s="53"/>
      <c r="R56" s="53"/>
      <c r="S56" s="53"/>
      <c r="T56" s="1182"/>
    </row>
    <row r="57" spans="1:20" s="3" customFormat="1" ht="30" customHeight="1" thickBot="1" x14ac:dyDescent="0.3">
      <c r="A57" s="1801" t="s">
        <v>449</v>
      </c>
      <c r="B57" s="1802"/>
      <c r="C57" s="1802"/>
      <c r="D57" s="1802"/>
      <c r="E57" s="1802"/>
      <c r="F57" s="1182"/>
      <c r="G57" s="1182"/>
      <c r="H57" s="79"/>
      <c r="I57" s="1182"/>
      <c r="J57" s="1182"/>
      <c r="K57" s="1182"/>
      <c r="L57" s="1182"/>
      <c r="M57" s="1182"/>
      <c r="N57" s="1182"/>
      <c r="O57" s="1182"/>
      <c r="P57" s="53"/>
      <c r="Q57" s="53"/>
      <c r="R57" s="53"/>
      <c r="S57" s="53"/>
      <c r="T57" s="1182"/>
    </row>
    <row r="58" spans="1:20" s="3" customFormat="1" ht="30" customHeight="1" thickBot="1" x14ac:dyDescent="0.3">
      <c r="A58" s="968"/>
      <c r="B58" s="1204" t="s">
        <v>450</v>
      </c>
      <c r="C58" s="229"/>
      <c r="D58" s="1205" t="s">
        <v>450</v>
      </c>
      <c r="E58" s="230"/>
      <c r="F58" s="1182"/>
      <c r="G58" s="1182"/>
      <c r="H58" s="53"/>
      <c r="I58" s="1182"/>
      <c r="J58" s="1182"/>
      <c r="K58" s="1182"/>
      <c r="L58" s="1182"/>
      <c r="M58" s="1182"/>
      <c r="N58" s="1182"/>
      <c r="O58" s="1182"/>
      <c r="P58" s="53"/>
      <c r="Q58" s="53"/>
      <c r="R58" s="53"/>
      <c r="S58" s="53"/>
      <c r="T58" s="1182"/>
    </row>
    <row r="59" spans="1:20" s="3" customFormat="1" ht="30" customHeight="1" x14ac:dyDescent="0.25">
      <c r="A59" s="969" t="s">
        <v>451</v>
      </c>
      <c r="B59" s="233" t="e">
        <f>VLOOKUP(C58,'DATOS ¬'!B217:K248,8,FALSE)</f>
        <v>#N/A</v>
      </c>
      <c r="C59" s="228" t="e">
        <f>(VLOOKUP(C58,'DATOS ¬'!B217:K248,9,FALSE))/1000</f>
        <v>#N/A</v>
      </c>
      <c r="D59" s="232" t="e">
        <f>VLOOKUP(E58,'DATOS ¬'!B217:K248,8,FALSE)</f>
        <v>#N/A</v>
      </c>
      <c r="E59" s="234" t="e">
        <f>(VLOOKUP(E58,'DATOS ¬'!B217:K248,9,FALSE))/1000</f>
        <v>#N/A</v>
      </c>
      <c r="F59" s="1182"/>
      <c r="G59" s="1182"/>
      <c r="H59" s="53"/>
      <c r="I59" s="1182"/>
      <c r="J59" s="1182"/>
      <c r="K59" s="1182"/>
      <c r="L59" s="1182"/>
      <c r="M59" s="1182"/>
      <c r="N59" s="1182"/>
      <c r="O59" s="1182"/>
      <c r="P59" s="53"/>
      <c r="Q59" s="53"/>
      <c r="R59" s="53"/>
      <c r="S59" s="53"/>
      <c r="T59" s="1184"/>
    </row>
    <row r="60" spans="1:20" s="3" customFormat="1" ht="30" customHeight="1" x14ac:dyDescent="0.25">
      <c r="A60" s="970">
        <v>1</v>
      </c>
      <c r="B60" s="231"/>
      <c r="C60" s="423" t="e">
        <f>B60-$C$59</f>
        <v>#N/A</v>
      </c>
      <c r="D60" s="227"/>
      <c r="E60" s="1072" t="e">
        <f>D60+$E$59</f>
        <v>#N/A</v>
      </c>
      <c r="F60" s="1182"/>
      <c r="G60" s="1182"/>
      <c r="H60" s="1182"/>
      <c r="I60" s="1182"/>
      <c r="J60" s="1182"/>
      <c r="K60" s="1182"/>
      <c r="L60" s="1182"/>
      <c r="M60" s="1182"/>
      <c r="N60" s="1182"/>
      <c r="O60" s="1182"/>
      <c r="P60" s="1182"/>
      <c r="Q60" s="53"/>
      <c r="R60" s="53"/>
      <c r="S60" s="53"/>
      <c r="T60" s="1184"/>
    </row>
    <row r="61" spans="1:20" s="3" customFormat="1" ht="30" customHeight="1" x14ac:dyDescent="0.25">
      <c r="A61" s="970">
        <v>2</v>
      </c>
      <c r="B61" s="231"/>
      <c r="C61" s="423" t="e">
        <f>B61-$C$59</f>
        <v>#N/A</v>
      </c>
      <c r="D61" s="227"/>
      <c r="E61" s="1072" t="e">
        <f>D61+$E$59</f>
        <v>#N/A</v>
      </c>
      <c r="F61" s="1182"/>
      <c r="G61" s="1182"/>
      <c r="H61" s="1182"/>
      <c r="I61" s="1182"/>
      <c r="J61" s="1182"/>
      <c r="K61" s="1182"/>
      <c r="L61" s="1182"/>
      <c r="M61" s="1182"/>
      <c r="N61" s="1182"/>
      <c r="O61" s="1182"/>
      <c r="P61" s="1182"/>
      <c r="Q61" s="106"/>
      <c r="R61" s="84"/>
      <c r="S61" s="53"/>
      <c r="T61" s="1184"/>
    </row>
    <row r="62" spans="1:20" s="3" customFormat="1" ht="30" customHeight="1" x14ac:dyDescent="0.25">
      <c r="A62" s="970">
        <v>3</v>
      </c>
      <c r="B62" s="231"/>
      <c r="C62" s="423" t="e">
        <f>B62-$C$59</f>
        <v>#N/A</v>
      </c>
      <c r="D62" s="227"/>
      <c r="E62" s="1072" t="e">
        <f>D62+$E$59</f>
        <v>#N/A</v>
      </c>
      <c r="F62" s="1182"/>
      <c r="G62" s="1182"/>
      <c r="H62" s="1182"/>
      <c r="I62" s="53"/>
      <c r="J62" s="1182"/>
      <c r="K62" s="1182"/>
      <c r="L62" s="1182"/>
      <c r="M62" s="1182"/>
      <c r="N62" s="1182"/>
      <c r="O62" s="1182"/>
      <c r="P62" s="1182"/>
      <c r="Q62" s="53"/>
      <c r="R62" s="53"/>
      <c r="S62" s="53"/>
      <c r="T62" s="1182"/>
    </row>
    <row r="63" spans="1:20" s="3" customFormat="1" ht="33.75" customHeight="1" x14ac:dyDescent="0.25">
      <c r="A63" s="970">
        <v>4</v>
      </c>
      <c r="B63" s="231"/>
      <c r="C63" s="423" t="e">
        <f>B63-$C$59</f>
        <v>#N/A</v>
      </c>
      <c r="D63" s="227"/>
      <c r="E63" s="1072" t="e">
        <f>D63+$E$59</f>
        <v>#N/A</v>
      </c>
      <c r="F63" s="1182"/>
      <c r="G63" s="1182"/>
      <c r="H63" s="1182"/>
      <c r="I63" s="1182"/>
      <c r="J63" s="1182"/>
      <c r="K63" s="1182"/>
      <c r="L63" s="1182"/>
      <c r="M63" s="1182"/>
      <c r="N63" s="1182"/>
      <c r="O63" s="1182"/>
      <c r="P63" s="1182"/>
      <c r="Q63" s="53"/>
      <c r="R63" s="53"/>
      <c r="S63" s="53"/>
      <c r="T63" s="1182"/>
    </row>
    <row r="64" spans="1:20" s="3" customFormat="1" ht="48" customHeight="1" thickBot="1" x14ac:dyDescent="0.25">
      <c r="A64" s="971">
        <v>5</v>
      </c>
      <c r="B64" s="237"/>
      <c r="C64" s="1071" t="e">
        <f>B64-$C$59</f>
        <v>#N/A</v>
      </c>
      <c r="D64" s="238"/>
      <c r="E64" s="1073" t="e">
        <f>D64+$E$59</f>
        <v>#N/A</v>
      </c>
      <c r="F64" s="1185"/>
      <c r="G64" s="1182"/>
      <c r="H64" s="1182"/>
      <c r="I64" s="1182"/>
      <c r="J64" s="1182"/>
      <c r="K64" s="1182"/>
      <c r="L64" s="1182"/>
      <c r="M64" s="1182"/>
      <c r="N64" s="1182"/>
      <c r="O64" s="1182"/>
      <c r="P64" s="70"/>
      <c r="Q64" s="53"/>
      <c r="R64" s="53"/>
      <c r="S64" s="53"/>
      <c r="T64" s="1182"/>
    </row>
    <row r="65" spans="1:19" s="3" customFormat="1" ht="63.75" customHeight="1" thickBot="1" x14ac:dyDescent="0.3">
      <c r="A65" s="1182"/>
      <c r="B65" s="413" t="s">
        <v>452</v>
      </c>
      <c r="C65" s="239" t="e">
        <f>AVERAGE(C60:C64)</f>
        <v>#N/A</v>
      </c>
      <c r="D65" s="239" t="s">
        <v>452</v>
      </c>
      <c r="E65" s="240" t="e">
        <f>AVERAGE(E60:E64)</f>
        <v>#N/A</v>
      </c>
      <c r="F65" s="1182"/>
      <c r="G65" s="1182"/>
      <c r="H65" s="1182"/>
      <c r="I65" s="1182"/>
      <c r="J65" s="1182"/>
      <c r="K65" s="1182"/>
      <c r="L65" s="1182"/>
      <c r="M65" s="1182"/>
      <c r="N65" s="1182"/>
      <c r="O65" s="1182"/>
      <c r="P65" s="89"/>
      <c r="Q65" s="53"/>
      <c r="R65" s="53"/>
      <c r="S65" s="53"/>
    </row>
    <row r="66" spans="1:19" s="3" customFormat="1" ht="41.1" customHeight="1" thickBot="1" x14ac:dyDescent="0.3">
      <c r="A66" s="1691" t="s">
        <v>616</v>
      </c>
      <c r="B66" s="1693"/>
      <c r="C66" s="1693"/>
      <c r="D66" s="1806"/>
      <c r="E66" s="1807" t="s">
        <v>454</v>
      </c>
      <c r="F66" s="1692"/>
      <c r="G66" s="1182"/>
      <c r="H66" s="1182"/>
      <c r="I66" s="1182"/>
      <c r="J66" s="1182"/>
      <c r="K66" s="1182"/>
      <c r="L66" s="1182"/>
      <c r="M66" s="1182"/>
      <c r="N66" s="1182"/>
      <c r="O66" s="1182"/>
      <c r="P66" s="89"/>
      <c r="Q66" s="53"/>
      <c r="R66" s="53"/>
      <c r="S66" s="53"/>
    </row>
    <row r="67" spans="1:19" s="3" customFormat="1" ht="41.1" customHeight="1" thickBot="1" x14ac:dyDescent="0.3">
      <c r="A67" s="85" t="s">
        <v>455</v>
      </c>
      <c r="B67" s="86" t="e">
        <f>B82+((VLOOKUP($H$81,'DATOS ¬'!$B$123:$O$129,9,FALSE))*B82+(VLOOKUP($H$81,'DATOS ¬'!$B$123:$O$173,10,FALSE)))</f>
        <v>#N/A</v>
      </c>
      <c r="C67" s="86" t="e">
        <f>C82+((VLOOKUP($H$81,'DATOS ¬'!$B$123:$O$129,9,FALSE))*C82+(VLOOKUP($H$81,'DATOS ¬'!$B$123:$O$129,10,FALSE)))</f>
        <v>#N/A</v>
      </c>
      <c r="D67" s="211" t="e">
        <f>D82+((VLOOKUP($H$81,'DATOS ¬'!$B$123:$O$129,9,FALSE))*D82+(VLOOKUP($H$81,'DATOS ¬'!$B$123:$O$129,10,FALSE)))</f>
        <v>#N/A</v>
      </c>
      <c r="E67" s="213"/>
      <c r="F67" s="214"/>
      <c r="G67" s="1763" t="e">
        <f>IF(AND(17&lt;=B67, 17&lt;=C67, 17&lt;=D67, B67&lt;=23,C67&lt;=23,D67&lt;=23),"La temperatura está dentro del intervalo de condiciones ambientales","La temperatura de al menos una medición está fuera del intervalo")</f>
        <v>#N/A</v>
      </c>
      <c r="H67" s="1764"/>
      <c r="I67" s="1764"/>
      <c r="J67" s="1764"/>
      <c r="K67" s="1182"/>
      <c r="L67" s="1182"/>
      <c r="M67" s="1182"/>
      <c r="N67" s="1182"/>
      <c r="O67" s="1182"/>
      <c r="P67" s="89"/>
      <c r="Q67" s="53"/>
      <c r="R67" s="53"/>
      <c r="S67" s="53"/>
    </row>
    <row r="68" spans="1:19" s="3" customFormat="1" ht="41.1" customHeight="1" thickBot="1" x14ac:dyDescent="0.3">
      <c r="A68" s="85" t="s">
        <v>456</v>
      </c>
      <c r="B68" s="86" t="e">
        <f>B83+((VLOOKUP($H$81,'DATOS ¬'!$B$123:$O$129,11,FALSE))*B83+(VLOOKUP($H$81,'DATOS ¬'!$B$123:$O$129,12,FALSE)))</f>
        <v>#N/A</v>
      </c>
      <c r="C68" s="86" t="e">
        <f>C83+((VLOOKUP($H$81,'DATOS ¬'!$B$123:$O$129,11,FALSE))*C83+(VLOOKUP($H$81,'DATOS ¬'!$B$123:$O$129,12,FALSE)))</f>
        <v>#N/A</v>
      </c>
      <c r="D68" s="211" t="e">
        <f>D83+((VLOOKUP($H$81,'DATOS ¬'!$B$123:$O$129,11,FALSE))*D83+(VLOOKUP($H$81,'DATOS ¬'!$B$123:$O$129,12,FALSE)))</f>
        <v>#N/A</v>
      </c>
      <c r="E68" s="215"/>
      <c r="F68" s="216"/>
      <c r="G68" s="1763" t="e">
        <f>IF(AND(30&lt;=B68, 30&lt;=C68, 30&lt;=D68, B68&lt;=80, C68&lt;=80, D68&lt;=80),"La humedad está dentro del intervalo de condiciones ambientales","La humedad de al menos una medición está fuera del intervalo")</f>
        <v>#N/A</v>
      </c>
      <c r="H68" s="1764"/>
      <c r="I68" s="1764"/>
      <c r="J68" s="1764"/>
      <c r="K68" s="1182"/>
      <c r="L68" s="1182"/>
      <c r="M68" s="1182"/>
      <c r="N68" s="1182"/>
      <c r="O68" s="1182"/>
      <c r="P68" s="89"/>
      <c r="Q68" s="53"/>
      <c r="R68" s="53"/>
      <c r="S68" s="53"/>
    </row>
    <row r="69" spans="1:19" s="3" customFormat="1" ht="41.1" customHeight="1" thickBot="1" x14ac:dyDescent="0.3">
      <c r="A69" s="90" t="s">
        <v>457</v>
      </c>
      <c r="B69" s="91" t="e">
        <f>B84+((VLOOKUP($H$81,'DATOS ¬'!$B$123:$O$129,13,FALSE))*B84+(VLOOKUP($H$81,'DATOS ¬'!$B$123:$O$129,14,FALSE)))</f>
        <v>#N/A</v>
      </c>
      <c r="C69" s="91" t="e">
        <f>C84+((VLOOKUP($H$81,'DATOS ¬'!$B$123:$O$129,13,FALSE))*C84+(VLOOKUP($H$81,'DATOS ¬'!$B$123:$O$129,14,FALSE)))</f>
        <v>#N/A</v>
      </c>
      <c r="D69" s="212" t="e">
        <f>D84+((VLOOKUP($H$81,'DATOS ¬'!$B$123:$O$129,13,FALSE))*D84+(VLOOKUP($H$81,'DATOS ¬'!$B$123:$O$129,14,FALSE)))</f>
        <v>#N/A</v>
      </c>
      <c r="E69" s="217"/>
      <c r="F69" s="218"/>
      <c r="G69" s="1182"/>
      <c r="H69" s="1182"/>
      <c r="I69" s="1182"/>
      <c r="J69" s="1182"/>
      <c r="K69" s="1182"/>
      <c r="L69" s="1182"/>
      <c r="M69" s="1182"/>
      <c r="N69" s="1182"/>
      <c r="O69" s="1182"/>
      <c r="P69" s="89"/>
      <c r="Q69" s="53"/>
      <c r="R69" s="53"/>
      <c r="S69" s="53"/>
    </row>
    <row r="70" spans="1:19" s="3" customFormat="1" ht="13.5" customHeight="1" thickBot="1" x14ac:dyDescent="0.3">
      <c r="A70" s="1182"/>
      <c r="B70" s="1182"/>
      <c r="C70" s="1182"/>
      <c r="D70" s="1182"/>
      <c r="E70" s="1182"/>
      <c r="F70" s="70"/>
      <c r="G70" s="1182"/>
      <c r="H70" s="1182"/>
      <c r="I70" s="1182"/>
      <c r="J70" s="1182"/>
      <c r="K70" s="1182"/>
      <c r="L70" s="1182"/>
      <c r="M70" s="1182"/>
      <c r="N70" s="1182"/>
      <c r="O70" s="1182"/>
      <c r="P70" s="89"/>
      <c r="Q70" s="53"/>
      <c r="R70" s="53"/>
      <c r="S70" s="53"/>
    </row>
    <row r="71" spans="1:19" s="3" customFormat="1" ht="41.1" customHeight="1" thickBot="1" x14ac:dyDescent="0.3">
      <c r="A71" s="1808" t="s">
        <v>458</v>
      </c>
      <c r="B71" s="1809"/>
      <c r="C71" s="1809"/>
      <c r="D71" s="1810"/>
      <c r="E71" s="1807" t="s">
        <v>454</v>
      </c>
      <c r="F71" s="1692"/>
      <c r="G71" s="1182"/>
      <c r="H71" s="1182"/>
      <c r="I71" s="1182"/>
      <c r="J71" s="1182"/>
      <c r="K71" s="1182"/>
      <c r="L71" s="1182"/>
      <c r="M71" s="1182"/>
      <c r="N71" s="1182"/>
      <c r="O71" s="1182"/>
      <c r="P71" s="89"/>
      <c r="Q71" s="53"/>
      <c r="R71" s="53"/>
      <c r="S71" s="53"/>
    </row>
    <row r="72" spans="1:19" s="3" customFormat="1" ht="41.1" customHeight="1" x14ac:dyDescent="0.25">
      <c r="A72" s="1803"/>
      <c r="B72" s="92">
        <v>1</v>
      </c>
      <c r="C72" s="92">
        <v>2</v>
      </c>
      <c r="D72" s="222">
        <v>3</v>
      </c>
      <c r="E72" s="224"/>
      <c r="F72" s="225"/>
      <c r="G72" s="1182"/>
      <c r="H72" s="1182"/>
      <c r="I72" s="1182"/>
      <c r="J72" s="1182"/>
      <c r="K72" s="1182"/>
      <c r="L72" s="1182"/>
      <c r="M72" s="1182"/>
      <c r="N72" s="1182"/>
      <c r="O72" s="1182"/>
      <c r="P72" s="89"/>
      <c r="Q72" s="53"/>
      <c r="R72" s="53"/>
      <c r="S72" s="53"/>
    </row>
    <row r="73" spans="1:19" s="3" customFormat="1" ht="41.1" customHeight="1" thickBot="1" x14ac:dyDescent="0.3">
      <c r="A73" s="1804"/>
      <c r="B73" s="93" t="e">
        <f>(((0.34848*(B69))-(0.009*(B68)*(EXP(0.061*(B67)))))/(273.15+(B67)))/1000</f>
        <v>#N/A</v>
      </c>
      <c r="C73" s="93" t="e">
        <f>(((0.34848*(C69))-(0.009*(C68)*(EXP(0.061*(C67)))))/(273.15+(C67)))/1000</f>
        <v>#N/A</v>
      </c>
      <c r="D73" s="223" t="e">
        <f>(((0.34848*(D69))-(0.009*(D68)*(EXP(0.061*(D67)))))/(273.15+(D67)))/1000</f>
        <v>#N/A</v>
      </c>
      <c r="E73" s="210"/>
      <c r="F73" s="226"/>
      <c r="G73" s="1182"/>
      <c r="H73" s="1182"/>
      <c r="I73" s="1182"/>
      <c r="J73" s="1182"/>
      <c r="K73" s="1182"/>
      <c r="L73" s="1182"/>
      <c r="M73" s="1182"/>
      <c r="N73" s="1182"/>
      <c r="O73" s="88"/>
      <c r="P73" s="89"/>
      <c r="Q73" s="53"/>
      <c r="R73" s="53"/>
      <c r="S73" s="53"/>
    </row>
    <row r="74" spans="1:19" s="3" customFormat="1" ht="14.25" customHeight="1" thickBot="1" x14ac:dyDescent="0.3">
      <c r="A74" s="1182"/>
      <c r="B74" s="1182"/>
      <c r="C74" s="1182"/>
      <c r="D74" s="1182"/>
      <c r="E74" s="1182"/>
      <c r="F74" s="1182"/>
      <c r="G74" s="1182"/>
      <c r="H74" s="1182"/>
      <c r="I74" s="1182"/>
      <c r="J74" s="1182"/>
      <c r="K74" s="1182"/>
      <c r="L74" s="1182"/>
      <c r="M74" s="1182"/>
      <c r="N74" s="1182"/>
      <c r="O74" s="1182"/>
      <c r="P74" s="89"/>
      <c r="Q74" s="53"/>
      <c r="R74" s="53"/>
      <c r="S74" s="53"/>
    </row>
    <row r="75" spans="1:19" s="3" customFormat="1" ht="41.1" customHeight="1" thickBot="1" x14ac:dyDescent="0.3">
      <c r="A75" s="1808" t="s">
        <v>459</v>
      </c>
      <c r="B75" s="1809"/>
      <c r="C75" s="1809"/>
      <c r="D75" s="1810"/>
      <c r="E75" s="1807" t="s">
        <v>454</v>
      </c>
      <c r="F75" s="1692"/>
      <c r="G75" s="1182"/>
      <c r="H75" s="1182"/>
      <c r="I75" s="1182"/>
      <c r="J75" s="1182"/>
      <c r="K75" s="1182"/>
      <c r="L75" s="1182"/>
      <c r="M75" s="1182"/>
      <c r="N75" s="1182"/>
      <c r="O75" s="1182"/>
      <c r="P75" s="89"/>
      <c r="Q75" s="53"/>
      <c r="R75" s="53"/>
      <c r="S75" s="53"/>
    </row>
    <row r="76" spans="1:19" s="3" customFormat="1" ht="41.1" customHeight="1" x14ac:dyDescent="0.25">
      <c r="A76" s="1805"/>
      <c r="B76" s="92">
        <v>1</v>
      </c>
      <c r="C76" s="92">
        <v>2</v>
      </c>
      <c r="D76" s="222">
        <v>3</v>
      </c>
      <c r="E76" s="224"/>
      <c r="F76" s="225"/>
      <c r="G76" s="1182"/>
      <c r="H76" s="1182"/>
      <c r="I76" s="1182"/>
      <c r="J76" s="1182"/>
      <c r="K76" s="1182"/>
      <c r="L76" s="1182"/>
      <c r="M76" s="1182"/>
      <c r="N76" s="1182"/>
      <c r="O76" s="1182"/>
      <c r="P76" s="89"/>
      <c r="Q76" s="53"/>
      <c r="R76" s="53"/>
      <c r="S76" s="53"/>
    </row>
    <row r="77" spans="1:19" s="3" customFormat="1" ht="63" customHeight="1" thickBot="1" x14ac:dyDescent="0.3">
      <c r="A77" s="1805"/>
      <c r="B77" s="93" t="e">
        <f>(((999.972*(1-(((B88+(-3.983035))^2*(B88+301.797))/(522528.9*(B88+69.34881)))))*(1+((0.0000000005074+((-0.00000000000326)*B88)+(0.0000000000000416*B88^2))*((B69*100)-101325))))+((-0.004612)+(0.000106*B88)))/1000</f>
        <v>#VALUE!</v>
      </c>
      <c r="C77" s="93" t="e">
        <f>(((999.972*(1-(((C88+(-3.983035))^2*(C88+301.797))/(522528.9*(C88+69.34881)))))*(1+((0.0000000005074+((-0.00000000000326)*C88)+(0.0000000000000416*C88^2))*((C69*100)-101325))))+((-0.004612)+(0.000106*C88)))/1000</f>
        <v>#VALUE!</v>
      </c>
      <c r="D77" s="223" t="e">
        <f>(((999.972*(1-(((D88+(-3.983035))^2*(D88+301.797))/(522528.9*(D88+69.34881)))))*(1+((0.0000000005074+((-0.00000000000326)*D88)+(0.0000000000000416*D88^2))*((D69*100)-101325))))+((-0.004612)+(0.000106*D88)))/1000</f>
        <v>#VALUE!</v>
      </c>
      <c r="E77" s="210"/>
      <c r="F77" s="226"/>
      <c r="G77" s="1182"/>
      <c r="H77" s="1182"/>
      <c r="I77" s="1182"/>
      <c r="J77" s="1182"/>
      <c r="K77" s="1182"/>
      <c r="L77" s="1182"/>
      <c r="M77" s="1182"/>
      <c r="N77" s="1182"/>
      <c r="O77" s="88"/>
      <c r="P77" s="89"/>
      <c r="Q77" s="53"/>
      <c r="R77" s="53"/>
      <c r="S77" s="53"/>
    </row>
    <row r="78" spans="1:19" s="3" customFormat="1" ht="51" customHeight="1" x14ac:dyDescent="0.25">
      <c r="A78" s="1182"/>
      <c r="B78" s="1182"/>
      <c r="C78" s="1182"/>
      <c r="D78" s="1182"/>
      <c r="E78" s="1182"/>
      <c r="F78" s="1182"/>
      <c r="G78" s="1182"/>
      <c r="H78" s="1182"/>
      <c r="I78" s="50"/>
      <c r="J78" s="50"/>
      <c r="K78" s="87"/>
      <c r="L78" s="50"/>
      <c r="M78" s="50"/>
      <c r="N78" s="87"/>
      <c r="O78" s="88"/>
      <c r="P78" s="89"/>
      <c r="Q78" s="53"/>
      <c r="R78" s="53"/>
      <c r="S78" s="53"/>
    </row>
    <row r="79" spans="1:19" s="3" customFormat="1" ht="42" customHeight="1" thickBot="1" x14ac:dyDescent="0.3">
      <c r="A79" s="1182"/>
      <c r="B79" s="1182"/>
      <c r="C79" s="1182"/>
      <c r="D79" s="1182"/>
      <c r="E79" s="1182"/>
      <c r="F79" s="1182"/>
      <c r="G79" s="1182"/>
      <c r="H79" s="1182"/>
      <c r="I79" s="1182"/>
      <c r="J79" s="1182"/>
      <c r="K79" s="1182"/>
      <c r="L79" s="1182"/>
      <c r="M79" s="1182"/>
      <c r="N79" s="1182"/>
      <c r="O79" s="88"/>
      <c r="P79" s="89"/>
      <c r="Q79" s="53"/>
      <c r="R79" s="53"/>
      <c r="S79" s="53"/>
    </row>
    <row r="80" spans="1:19" s="3" customFormat="1" ht="42" customHeight="1" thickBot="1" x14ac:dyDescent="0.25">
      <c r="A80" s="1691" t="s">
        <v>617</v>
      </c>
      <c r="B80" s="1693"/>
      <c r="C80" s="1693"/>
      <c r="D80" s="1693"/>
      <c r="E80" s="1799"/>
      <c r="F80" s="1799"/>
      <c r="G80" s="1800"/>
      <c r="H80" s="82" t="s">
        <v>121</v>
      </c>
      <c r="I80" s="1182"/>
      <c r="J80" s="1187"/>
      <c r="K80" s="1187"/>
      <c r="L80" s="1701" t="s">
        <v>618</v>
      </c>
      <c r="M80" s="1702"/>
      <c r="N80" s="1703"/>
      <c r="O80" s="88"/>
      <c r="P80" s="89"/>
      <c r="Q80" s="53"/>
      <c r="R80" s="53"/>
      <c r="S80" s="53"/>
    </row>
    <row r="81" spans="1:19" s="3" customFormat="1" ht="42" customHeight="1" thickBot="1" x14ac:dyDescent="0.3">
      <c r="A81" s="1074"/>
      <c r="B81" s="1106">
        <v>1</v>
      </c>
      <c r="C81" s="1107">
        <v>2</v>
      </c>
      <c r="D81" s="1108">
        <v>3</v>
      </c>
      <c r="E81" s="947"/>
      <c r="F81" s="948"/>
      <c r="G81" s="945"/>
      <c r="H81" s="80"/>
      <c r="I81" s="1182"/>
      <c r="J81" s="1187"/>
      <c r="K81" s="1187"/>
      <c r="L81" s="962" t="s">
        <v>462</v>
      </c>
      <c r="M81" s="963" t="s">
        <v>463</v>
      </c>
      <c r="N81" s="964" t="s">
        <v>464</v>
      </c>
      <c r="O81" s="88"/>
      <c r="P81" s="89"/>
      <c r="Q81" s="53"/>
      <c r="R81" s="53"/>
      <c r="S81" s="53"/>
    </row>
    <row r="82" spans="1:19" s="3" customFormat="1" ht="42" customHeight="1" thickBot="1" x14ac:dyDescent="0.25">
      <c r="A82" s="1075" t="s">
        <v>455</v>
      </c>
      <c r="B82" s="1109"/>
      <c r="C82" s="1110"/>
      <c r="D82" s="1111"/>
      <c r="E82" s="220"/>
      <c r="F82" s="219"/>
      <c r="G82" s="221"/>
      <c r="H82" s="52"/>
      <c r="I82" s="50"/>
      <c r="J82" s="1187"/>
      <c r="K82" s="1187"/>
      <c r="L82" s="1188" t="e">
        <f>B98</f>
        <v>#N/A</v>
      </c>
      <c r="M82" s="1189" t="e">
        <f>C98</f>
        <v>#N/A</v>
      </c>
      <c r="N82" s="1190" t="e">
        <f>D98</f>
        <v>#N/A</v>
      </c>
      <c r="O82" s="1182"/>
      <c r="P82" s="1182"/>
      <c r="Q82" s="53"/>
      <c r="R82" s="53"/>
      <c r="S82" s="53"/>
    </row>
    <row r="83" spans="1:19" s="3" customFormat="1" ht="42" customHeight="1" x14ac:dyDescent="0.25">
      <c r="A83" s="1075" t="s">
        <v>456</v>
      </c>
      <c r="B83" s="797"/>
      <c r="C83" s="83"/>
      <c r="D83" s="798"/>
      <c r="E83" s="220"/>
      <c r="F83" s="219"/>
      <c r="G83" s="221"/>
      <c r="H83" s="52"/>
      <c r="I83" s="50"/>
      <c r="J83" s="965" t="s">
        <v>462</v>
      </c>
      <c r="K83" s="1191" t="e">
        <f>+L82</f>
        <v>#N/A</v>
      </c>
      <c r="L83" s="1192" t="e">
        <f>ABS(K83-L82)</f>
        <v>#N/A</v>
      </c>
      <c r="M83" s="1192" t="e">
        <f>+ABS(M82-K83)</f>
        <v>#N/A</v>
      </c>
      <c r="N83" s="1193" t="e">
        <f>+ABS(N82-K83)</f>
        <v>#N/A</v>
      </c>
      <c r="O83" s="1182"/>
      <c r="P83" s="1182"/>
      <c r="Q83" s="53"/>
      <c r="R83" s="53"/>
      <c r="S83" s="53"/>
    </row>
    <row r="84" spans="1:19" s="3" customFormat="1" ht="42" customHeight="1" thickBot="1" x14ac:dyDescent="0.3">
      <c r="A84" s="1076" t="s">
        <v>457</v>
      </c>
      <c r="B84" s="799"/>
      <c r="C84" s="800"/>
      <c r="D84" s="801"/>
      <c r="E84" s="220"/>
      <c r="F84" s="219"/>
      <c r="G84" s="221"/>
      <c r="H84" s="52"/>
      <c r="I84" s="50"/>
      <c r="J84" s="966" t="s">
        <v>463</v>
      </c>
      <c r="K84" s="1194" t="e">
        <f>+M82</f>
        <v>#N/A</v>
      </c>
      <c r="L84" s="1195"/>
      <c r="M84" s="1196" t="e">
        <f>+ABS(K84-M82)</f>
        <v>#N/A</v>
      </c>
      <c r="N84" s="1197" t="e">
        <f>+ABS(K84-N82)</f>
        <v>#N/A</v>
      </c>
      <c r="O84" s="1182"/>
      <c r="P84" s="1182"/>
      <c r="Q84" s="53"/>
      <c r="R84" s="53"/>
      <c r="S84" s="53"/>
    </row>
    <row r="85" spans="1:19" s="3" customFormat="1" ht="42" customHeight="1" thickBot="1" x14ac:dyDescent="0.3">
      <c r="A85" s="1112"/>
      <c r="B85" s="1087"/>
      <c r="C85" s="1088"/>
      <c r="D85" s="1089"/>
      <c r="E85" s="1098"/>
      <c r="F85" s="1077"/>
      <c r="G85" s="245" t="s">
        <v>422</v>
      </c>
      <c r="H85" s="80"/>
      <c r="I85" s="1182"/>
      <c r="J85" s="967" t="s">
        <v>464</v>
      </c>
      <c r="K85" s="1198" t="e">
        <f>+N82</f>
        <v>#N/A</v>
      </c>
      <c r="L85" s="1199"/>
      <c r="M85" s="1199"/>
      <c r="N85" s="1200" t="e">
        <f>+ABS(K85-N82)</f>
        <v>#N/A</v>
      </c>
      <c r="O85" s="1182"/>
      <c r="P85" s="1182"/>
      <c r="Q85" s="53"/>
      <c r="R85" s="53"/>
      <c r="S85" s="53"/>
    </row>
    <row r="86" spans="1:19" s="3" customFormat="1" ht="42" customHeight="1" thickBot="1" x14ac:dyDescent="0.3">
      <c r="A86" s="1113"/>
      <c r="B86" s="1099" t="e">
        <f>B85+((VLOOKUP($H$85,'DATOS ¬'!$A$177:$N$199,13,FALSE))*B85+(VLOOKUP($H$85,'DATOS ¬'!$A$177:$N$199,14,FALSE)))</f>
        <v>#N/A</v>
      </c>
      <c r="C86" s="1100" t="e">
        <f>C85+((VLOOKUP($H$85,'DATOS ¬'!$A$177:$N$199,13,FALSE))*C85+(VLOOKUP($H$85,'DATOS ¬'!$A$177:$N$199,14,FALSE)))</f>
        <v>#N/A</v>
      </c>
      <c r="D86" s="1100" t="e">
        <f>D85+((VLOOKUP($H$85,'DATOS ¬'!$A$177:$N$199,13,FALSE))*D85+(VLOOKUP($H$85,'DATOS ¬'!$A$177:$N$199,14,FALSE)))</f>
        <v>#N/A</v>
      </c>
      <c r="E86" s="1078"/>
      <c r="F86" s="1078"/>
      <c r="G86" s="95" t="s">
        <v>422</v>
      </c>
      <c r="H86" s="53"/>
      <c r="I86" s="1182"/>
      <c r="J86" s="1182"/>
      <c r="K86" s="1182"/>
      <c r="L86" s="1182"/>
      <c r="M86" s="1182"/>
      <c r="N86" s="1182"/>
      <c r="O86" s="1182"/>
      <c r="P86" s="1182"/>
      <c r="Q86" s="53"/>
      <c r="R86" s="53"/>
      <c r="S86" s="53"/>
    </row>
    <row r="87" spans="1:19" s="3" customFormat="1" ht="42" customHeight="1" thickBot="1" x14ac:dyDescent="0.3">
      <c r="A87" s="1113"/>
      <c r="B87" s="1103"/>
      <c r="C87" s="1104"/>
      <c r="D87" s="1105"/>
      <c r="E87" s="1090"/>
      <c r="F87" s="1078"/>
      <c r="G87" s="95" t="s">
        <v>422</v>
      </c>
      <c r="H87" s="53"/>
      <c r="I87" s="1182"/>
      <c r="J87" s="1182"/>
      <c r="K87" s="1182"/>
      <c r="L87" s="1182"/>
      <c r="M87" s="1182"/>
      <c r="N87" s="1182"/>
      <c r="O87" s="1182"/>
      <c r="P87" s="1182"/>
      <c r="Q87" s="53"/>
      <c r="R87" s="53"/>
      <c r="S87" s="53"/>
    </row>
    <row r="88" spans="1:19" s="3" customFormat="1" ht="42" customHeight="1" thickBot="1" x14ac:dyDescent="0.3">
      <c r="A88" s="1113"/>
      <c r="B88" s="1101" t="str">
        <f>IFERROR(B87+((VLOOKUP($H$90,'DATOS ¬'!$A$37:$N$62,13,FALSE))*B87+(VLOOKUP($H$90,'DATOS ¬'!$A$37:$N$62,14,FALSE))),"error")</f>
        <v>error</v>
      </c>
      <c r="C88" s="1102" t="str">
        <f>IFERROR(C87+((VLOOKUP($H$90,'DATOS ¬'!$A$37:$N$62,13,FALSE))*C87+(VLOOKUP($H$90,'DATOS ¬'!$A$37:$N$62,14,FALSE))),"error")</f>
        <v>error</v>
      </c>
      <c r="D88" s="1102" t="str">
        <f>IFERROR(D87+((VLOOKUP($H$90,'DATOS ¬'!$A$37:$N$62,13,FALSE))*D87+(VLOOKUP($H$90,'DATOS ¬'!$A$37:$N$62,14,FALSE))),"error")</f>
        <v>error</v>
      </c>
      <c r="E88" s="1078"/>
      <c r="F88" s="1078"/>
      <c r="G88" s="95" t="s">
        <v>422</v>
      </c>
      <c r="H88" s="53"/>
      <c r="I88" s="1182"/>
      <c r="J88" s="1182"/>
      <c r="K88" s="1182"/>
      <c r="L88" s="53"/>
      <c r="M88" s="53"/>
      <c r="N88" s="53"/>
      <c r="O88" s="53"/>
      <c r="P88" s="53"/>
      <c r="Q88" s="53"/>
      <c r="R88" s="53"/>
      <c r="S88" s="53"/>
    </row>
    <row r="89" spans="1:19" s="4" customFormat="1" ht="42" customHeight="1" thickBot="1" x14ac:dyDescent="0.3">
      <c r="A89" s="1113" t="s">
        <v>465</v>
      </c>
      <c r="B89" s="1092"/>
      <c r="C89" s="1093"/>
      <c r="D89" s="1094"/>
      <c r="E89" s="1090"/>
      <c r="F89" s="1078"/>
      <c r="G89" s="95" t="s">
        <v>35</v>
      </c>
      <c r="H89" s="53"/>
      <c r="I89" s="79"/>
      <c r="J89" s="79"/>
      <c r="K89" s="79"/>
      <c r="L89" s="79"/>
      <c r="M89" s="79"/>
      <c r="N89" s="79"/>
      <c r="O89" s="53"/>
      <c r="P89" s="53"/>
      <c r="Q89" s="52"/>
      <c r="R89" s="52"/>
      <c r="S89" s="52"/>
    </row>
    <row r="90" spans="1:19" s="4" customFormat="1" ht="42" customHeight="1" thickBot="1" x14ac:dyDescent="0.3">
      <c r="A90" s="1113" t="s">
        <v>466</v>
      </c>
      <c r="B90" s="1095"/>
      <c r="C90" s="1096"/>
      <c r="D90" s="1097"/>
      <c r="E90" s="1091"/>
      <c r="F90" s="1079"/>
      <c r="G90" s="95" t="s">
        <v>35</v>
      </c>
      <c r="H90" s="80"/>
      <c r="I90" s="79"/>
      <c r="J90" s="79"/>
      <c r="K90" s="308" t="e">
        <f>IF(AND('PC ¬'!H11&gt;=97.5%,'PC ¬'!I11&lt;=2.5%),"AJUSTADO","AJUSTAR")</f>
        <v>#N/A</v>
      </c>
      <c r="L90" s="79"/>
      <c r="M90" s="79"/>
      <c r="N90" s="79"/>
      <c r="O90" s="53"/>
      <c r="P90" s="53"/>
      <c r="Q90" s="52"/>
      <c r="R90" s="52"/>
      <c r="S90" s="52"/>
    </row>
    <row r="91" spans="1:19" s="3" customFormat="1" ht="42" customHeight="1" thickBot="1" x14ac:dyDescent="0.3">
      <c r="A91" s="1113"/>
      <c r="B91" s="1087"/>
      <c r="C91" s="1088"/>
      <c r="D91" s="1089"/>
      <c r="E91" s="1084"/>
      <c r="F91" s="1080"/>
      <c r="G91" s="95" t="s">
        <v>35</v>
      </c>
      <c r="H91" s="53"/>
      <c r="I91" s="70"/>
      <c r="J91" s="70"/>
      <c r="K91" s="70"/>
      <c r="L91" s="70"/>
      <c r="M91" s="70"/>
      <c r="N91" s="70"/>
      <c r="O91" s="101"/>
      <c r="P91" s="53"/>
      <c r="Q91" s="53"/>
      <c r="R91" s="53"/>
      <c r="S91" s="53"/>
    </row>
    <row r="92" spans="1:19" s="3" customFormat="1" ht="42" customHeight="1" x14ac:dyDescent="0.35">
      <c r="A92" s="1114"/>
      <c r="B92" s="1085" t="e">
        <f>B91+((VLOOKUP($H$85,'DATOS ¬'!$A$177:$N$199,13,FALSE))*B91+(VLOOKUP($H$85,'DATOS ¬'!$A$177:$N$199,14,FALSE)))</f>
        <v>#N/A</v>
      </c>
      <c r="C92" s="1086" t="e">
        <f>C91+((VLOOKUP($H$85,'DATOS ¬'!$A$177:$N$199,13,FALSE))*C91+(VLOOKUP($H$85,'DATOS ¬'!$A$177:$N$199,14,FALSE)))</f>
        <v>#N/A</v>
      </c>
      <c r="D92" s="1086" t="e">
        <f>D91+((VLOOKUP($H$85,'DATOS ¬'!$A$177:$N$199,13,FALSE))*D91+(VLOOKUP($H$85,'DATOS ¬'!$A$177:$N$199,14,FALSE)))</f>
        <v>#N/A</v>
      </c>
      <c r="E92" s="1079"/>
      <c r="F92" s="1079"/>
      <c r="G92" s="95" t="s">
        <v>430</v>
      </c>
      <c r="H92" s="53"/>
      <c r="I92" s="103"/>
      <c r="J92" s="104"/>
      <c r="K92" s="105"/>
      <c r="L92" s="106"/>
      <c r="M92" s="71"/>
      <c r="N92" s="106"/>
      <c r="O92" s="53"/>
      <c r="P92" s="53"/>
      <c r="Q92" s="53"/>
      <c r="R92" s="53"/>
      <c r="S92" s="53"/>
    </row>
    <row r="93" spans="1:19" s="3" customFormat="1" ht="30" customHeight="1" x14ac:dyDescent="0.35">
      <c r="A93" s="1114"/>
      <c r="B93" s="246" t="e">
        <f>C44</f>
        <v>#N/A</v>
      </c>
      <c r="C93" s="97" t="e">
        <f>B93</f>
        <v>#N/A</v>
      </c>
      <c r="D93" s="97" t="e">
        <f>B93</f>
        <v>#N/A</v>
      </c>
      <c r="E93" s="1080"/>
      <c r="F93" s="1080"/>
      <c r="G93" s="95" t="s">
        <v>430</v>
      </c>
      <c r="H93" s="53"/>
      <c r="I93" s="103"/>
      <c r="J93" s="104"/>
      <c r="K93" s="105"/>
      <c r="L93" s="106"/>
      <c r="M93" s="71"/>
      <c r="N93" s="106"/>
      <c r="O93" s="53"/>
      <c r="P93" s="53"/>
      <c r="Q93" s="53"/>
      <c r="R93" s="53"/>
      <c r="S93" s="53"/>
    </row>
    <row r="94" spans="1:19" s="3" customFormat="1" ht="30" customHeight="1" x14ac:dyDescent="0.35">
      <c r="A94" s="1113"/>
      <c r="B94" s="346" t="e">
        <f>(B86-B92)</f>
        <v>#N/A</v>
      </c>
      <c r="C94" s="98" t="e">
        <f>(C86-C92)</f>
        <v>#N/A</v>
      </c>
      <c r="D94" s="314" t="e">
        <f>(D86-D92)</f>
        <v>#N/A</v>
      </c>
      <c r="E94" s="1081"/>
      <c r="F94" s="1081"/>
      <c r="G94" s="99" t="s">
        <v>422</v>
      </c>
      <c r="H94" s="52"/>
      <c r="I94" s="103"/>
      <c r="J94" s="104"/>
      <c r="K94" s="105"/>
      <c r="L94" s="106"/>
      <c r="M94" s="71"/>
      <c r="N94" s="106"/>
      <c r="O94" s="53"/>
      <c r="P94" s="53"/>
      <c r="Q94" s="53"/>
      <c r="R94" s="53"/>
      <c r="S94" s="53"/>
    </row>
    <row r="95" spans="1:19" s="3" customFormat="1" ht="33.75" customHeight="1" x14ac:dyDescent="0.25">
      <c r="A95" s="1113"/>
      <c r="B95" s="247" t="e">
        <f>1/(B77-B73)</f>
        <v>#VALUE!</v>
      </c>
      <c r="C95" s="100" t="e">
        <f>1/(C77-C73)</f>
        <v>#VALUE!</v>
      </c>
      <c r="D95" s="100" t="e">
        <f>1/(D77-D73)</f>
        <v>#VALUE!</v>
      </c>
      <c r="E95" s="1082"/>
      <c r="F95" s="1082"/>
      <c r="G95" s="99" t="s">
        <v>467</v>
      </c>
      <c r="H95" s="79"/>
      <c r="I95" s="79"/>
      <c r="J95" s="79"/>
      <c r="K95" s="79"/>
      <c r="L95" s="79"/>
      <c r="M95" s="79"/>
      <c r="N95" s="110"/>
      <c r="O95" s="53"/>
      <c r="P95" s="53"/>
      <c r="Q95" s="53"/>
      <c r="R95" s="53"/>
      <c r="S95" s="53"/>
    </row>
    <row r="96" spans="1:19" s="3" customFormat="1" ht="45" customHeight="1" x14ac:dyDescent="0.25">
      <c r="A96" s="1113"/>
      <c r="B96" s="247" t="e">
        <f>1-(B73/$C$7)</f>
        <v>#N/A</v>
      </c>
      <c r="C96" s="100" t="e">
        <f>1-(C73/$C$7)</f>
        <v>#N/A</v>
      </c>
      <c r="D96" s="100" t="e">
        <f>1-(D73/$C$7)</f>
        <v>#N/A</v>
      </c>
      <c r="E96" s="1082"/>
      <c r="F96" s="1082"/>
      <c r="G96" s="99" t="s">
        <v>467</v>
      </c>
      <c r="H96" s="53"/>
      <c r="I96" s="53"/>
      <c r="J96" s="53"/>
      <c r="K96" s="53"/>
      <c r="L96" s="53"/>
      <c r="M96" s="53"/>
      <c r="N96" s="53"/>
      <c r="O96" s="52"/>
      <c r="P96" s="53"/>
      <c r="Q96" s="53"/>
      <c r="R96" s="53"/>
      <c r="S96" s="53"/>
    </row>
    <row r="97" spans="1:22" s="3" customFormat="1" ht="45" customHeight="1" x14ac:dyDescent="0.25">
      <c r="A97" s="1113"/>
      <c r="B97" s="247" t="e">
        <f>1-$C$48*(B88-B93)</f>
        <v>#N/A</v>
      </c>
      <c r="C97" s="100" t="e">
        <f>1-$C$48*(C88-C93)</f>
        <v>#N/A</v>
      </c>
      <c r="D97" s="100" t="e">
        <f>1-$C$48*(D88-D93)</f>
        <v>#N/A</v>
      </c>
      <c r="E97" s="1082"/>
      <c r="F97" s="1082"/>
      <c r="G97" s="248"/>
      <c r="H97" s="53"/>
      <c r="I97" s="53"/>
      <c r="J97" s="53"/>
      <c r="K97" s="53"/>
      <c r="L97" s="53"/>
      <c r="M97" s="53"/>
      <c r="N97" s="53"/>
      <c r="O97" s="53"/>
      <c r="P97" s="53"/>
      <c r="Q97" s="53"/>
      <c r="R97" s="53"/>
      <c r="S97" s="53"/>
      <c r="T97" s="1182"/>
      <c r="U97" s="1182"/>
      <c r="V97" s="1182"/>
    </row>
    <row r="98" spans="1:22" s="3" customFormat="1" ht="30" customHeight="1" thickBot="1" x14ac:dyDescent="0.3">
      <c r="A98" s="1115"/>
      <c r="B98" s="249" t="e">
        <f>B94*B95*B96*B97</f>
        <v>#N/A</v>
      </c>
      <c r="C98" s="102" t="e">
        <f>C94*C95*C96*C97</f>
        <v>#N/A</v>
      </c>
      <c r="D98" s="102" t="e">
        <f>D94*D95*D96*D97</f>
        <v>#N/A</v>
      </c>
      <c r="E98" s="1083"/>
      <c r="F98" s="1083"/>
      <c r="G98" s="250" t="e">
        <f>AVERAGE(B98:D98)</f>
        <v>#N/A</v>
      </c>
      <c r="H98" s="53" t="s">
        <v>203</v>
      </c>
      <c r="I98" s="274"/>
      <c r="J98" s="273"/>
      <c r="K98" s="52"/>
      <c r="L98" s="52"/>
      <c r="M98" s="52"/>
      <c r="N98" s="52"/>
      <c r="O98" s="52"/>
      <c r="P98" s="52"/>
      <c r="Q98" s="52"/>
      <c r="R98" s="52"/>
      <c r="S98" s="53"/>
      <c r="T98" s="1182"/>
      <c r="U98" s="1182"/>
      <c r="V98" s="1182"/>
    </row>
    <row r="99" spans="1:22" s="3" customFormat="1" ht="30" customHeight="1" thickBot="1" x14ac:dyDescent="0.3">
      <c r="A99" s="53"/>
      <c r="B99" s="70"/>
      <c r="C99" s="107"/>
      <c r="D99" s="75"/>
      <c r="E99" s="108"/>
      <c r="F99" s="108"/>
      <c r="G99" s="109" t="e">
        <f>G98/1000</f>
        <v>#N/A</v>
      </c>
      <c r="H99" s="53" t="s">
        <v>36</v>
      </c>
      <c r="I99" s="53"/>
      <c r="J99" s="53"/>
      <c r="K99" s="53"/>
      <c r="L99" s="53"/>
      <c r="M99" s="53"/>
      <c r="N99" s="52"/>
      <c r="O99" s="52"/>
      <c r="P99" s="52"/>
      <c r="Q99" s="52"/>
      <c r="R99" s="52"/>
      <c r="S99" s="53"/>
      <c r="T99" s="1182"/>
      <c r="U99" s="1182"/>
      <c r="V99" s="1182"/>
    </row>
    <row r="100" spans="1:22" s="4" customFormat="1" ht="25.5" customHeight="1" thickBot="1" x14ac:dyDescent="0.3">
      <c r="A100" s="235" t="s">
        <v>468</v>
      </c>
      <c r="B100" s="236"/>
      <c r="C100" s="309"/>
      <c r="D100" s="75"/>
      <c r="E100" s="108"/>
      <c r="F100" s="108"/>
      <c r="G100" s="109" t="e">
        <f>G99/3.785412</f>
        <v>#N/A</v>
      </c>
      <c r="H100" s="53" t="s">
        <v>469</v>
      </c>
      <c r="I100" s="52"/>
      <c r="J100" s="52"/>
      <c r="K100" s="52"/>
      <c r="L100" s="52"/>
      <c r="M100" s="52"/>
      <c r="N100" s="52"/>
      <c r="O100" s="52"/>
      <c r="P100" s="52"/>
      <c r="Q100" s="52"/>
      <c r="R100" s="52"/>
      <c r="S100" s="52"/>
      <c r="T100" s="1201"/>
      <c r="U100" s="1201"/>
      <c r="V100" s="1201"/>
    </row>
    <row r="101" spans="1:22" s="3" customFormat="1" ht="30" customHeight="1" thickBot="1" x14ac:dyDescent="0.3">
      <c r="A101" s="53"/>
      <c r="B101" s="53"/>
      <c r="C101" s="53"/>
      <c r="D101" s="53"/>
      <c r="E101" s="1783"/>
      <c r="F101" s="1783"/>
      <c r="G101" s="1783"/>
      <c r="H101" s="1783"/>
      <c r="I101" s="1783"/>
      <c r="J101" s="1783"/>
      <c r="K101" s="1783"/>
      <c r="L101" s="1783"/>
      <c r="M101" s="1182"/>
      <c r="N101" s="52"/>
      <c r="O101" s="52"/>
      <c r="P101" s="52"/>
      <c r="Q101" s="52"/>
      <c r="R101" s="53"/>
      <c r="S101" s="53"/>
      <c r="T101" s="1182"/>
      <c r="U101" s="1182"/>
      <c r="V101" s="1182"/>
    </row>
    <row r="102" spans="1:22" s="3" customFormat="1" ht="30" customHeight="1" thickBot="1" x14ac:dyDescent="0.3">
      <c r="A102" s="1693" t="s">
        <v>454</v>
      </c>
      <c r="B102" s="1693"/>
      <c r="C102" s="1693"/>
      <c r="D102" s="1693"/>
      <c r="E102" s="1693"/>
      <c r="F102" s="1693"/>
      <c r="G102" s="1693"/>
      <c r="H102" s="1693"/>
      <c r="I102" s="1692"/>
      <c r="J102" s="50"/>
      <c r="K102" s="50"/>
      <c r="L102" s="50"/>
      <c r="M102" s="52"/>
      <c r="N102" s="53"/>
      <c r="O102" s="53"/>
      <c r="P102" s="53"/>
      <c r="Q102" s="53"/>
      <c r="R102" s="53"/>
      <c r="S102" s="53"/>
      <c r="T102" s="1182"/>
      <c r="U102" s="1182"/>
      <c r="V102" s="1182"/>
    </row>
    <row r="103" spans="1:22" s="3" customFormat="1" ht="30" customHeight="1" x14ac:dyDescent="0.25">
      <c r="A103" s="111"/>
      <c r="B103" s="111"/>
      <c r="C103" s="111"/>
      <c r="D103" s="111"/>
      <c r="E103" s="111"/>
      <c r="F103" s="111"/>
      <c r="G103" s="111"/>
      <c r="H103" s="111"/>
      <c r="I103" s="112"/>
      <c r="J103" s="70"/>
      <c r="K103" s="113"/>
      <c r="L103" s="50"/>
      <c r="M103" s="52"/>
      <c r="N103" s="53"/>
      <c r="O103" s="53"/>
      <c r="P103" s="53"/>
      <c r="Q103" s="53"/>
      <c r="R103" s="53"/>
      <c r="S103" s="53"/>
      <c r="T103" s="1182"/>
      <c r="U103" s="1181"/>
      <c r="V103" s="1184"/>
    </row>
    <row r="104" spans="1:22" s="3" customFormat="1" ht="30" customHeight="1" x14ac:dyDescent="0.25">
      <c r="A104" s="111"/>
      <c r="B104" s="111"/>
      <c r="C104" s="111"/>
      <c r="D104" s="111"/>
      <c r="E104" s="111"/>
      <c r="F104" s="111"/>
      <c r="G104" s="111"/>
      <c r="H104" s="111"/>
      <c r="I104" s="112"/>
      <c r="J104" s="70"/>
      <c r="K104" s="113"/>
      <c r="L104" s="50"/>
      <c r="M104" s="53"/>
      <c r="N104" s="53"/>
      <c r="O104" s="53"/>
      <c r="P104" s="53"/>
      <c r="Q104" s="53"/>
      <c r="R104" s="53"/>
      <c r="S104" s="53"/>
      <c r="T104" s="1182"/>
      <c r="U104" s="1184"/>
      <c r="V104" s="1182"/>
    </row>
    <row r="105" spans="1:22" s="3" customFormat="1" ht="30" customHeight="1" thickBot="1" x14ac:dyDescent="0.3">
      <c r="A105" s="114"/>
      <c r="B105" s="115"/>
      <c r="C105" s="115"/>
      <c r="D105" s="115"/>
      <c r="E105" s="115"/>
      <c r="F105" s="115"/>
      <c r="G105" s="115"/>
      <c r="H105" s="115"/>
      <c r="I105" s="116"/>
      <c r="J105" s="70"/>
      <c r="K105" s="113"/>
      <c r="L105" s="50"/>
      <c r="M105" s="53"/>
      <c r="N105" s="53"/>
      <c r="O105" s="53"/>
      <c r="P105" s="53"/>
      <c r="Q105" s="53"/>
      <c r="R105" s="53"/>
      <c r="S105" s="53"/>
      <c r="T105" s="1182"/>
      <c r="U105" s="1182"/>
      <c r="V105" s="1182"/>
    </row>
    <row r="106" spans="1:22" s="3" customFormat="1" ht="30" customHeight="1" x14ac:dyDescent="0.25">
      <c r="A106" s="53"/>
      <c r="B106" s="53"/>
      <c r="C106" s="53"/>
      <c r="D106" s="53"/>
      <c r="E106" s="79"/>
      <c r="F106" s="79"/>
      <c r="G106" s="79"/>
      <c r="H106" s="73"/>
      <c r="I106" s="53"/>
      <c r="J106" s="70"/>
      <c r="K106" s="113"/>
      <c r="L106" s="50"/>
      <c r="M106" s="53"/>
      <c r="N106" s="53"/>
      <c r="O106" s="53"/>
      <c r="P106" s="53"/>
      <c r="Q106" s="53"/>
      <c r="R106" s="53"/>
      <c r="S106" s="53"/>
      <c r="T106" s="1184"/>
      <c r="U106" s="1182"/>
      <c r="V106" s="1182"/>
    </row>
    <row r="107" spans="1:22" s="3" customFormat="1" ht="30" customHeight="1" thickBot="1" x14ac:dyDescent="0.3">
      <c r="A107" s="53"/>
      <c r="B107" s="53"/>
      <c r="C107" s="53"/>
      <c r="D107" s="53"/>
      <c r="E107" s="1783"/>
      <c r="F107" s="1783"/>
      <c r="G107" s="1783"/>
      <c r="H107" s="73"/>
      <c r="I107" s="53"/>
      <c r="J107" s="53"/>
      <c r="K107" s="53"/>
      <c r="L107" s="53"/>
      <c r="M107" s="53"/>
      <c r="N107" s="53"/>
      <c r="O107" s="53"/>
      <c r="P107" s="53"/>
      <c r="Q107" s="53"/>
      <c r="R107" s="53"/>
      <c r="S107" s="53"/>
      <c r="T107" s="1182"/>
      <c r="U107" s="1182"/>
      <c r="V107" s="1182"/>
    </row>
    <row r="108" spans="1:22" s="3" customFormat="1" ht="30" customHeight="1" x14ac:dyDescent="0.25">
      <c r="A108" s="1811" t="s">
        <v>470</v>
      </c>
      <c r="B108" s="1812"/>
      <c r="C108" s="1812"/>
      <c r="D108" s="1812"/>
      <c r="E108" s="1812"/>
      <c r="F108" s="1812"/>
      <c r="G108" s="1812"/>
      <c r="H108" s="1812"/>
      <c r="I108" s="1812"/>
      <c r="J108" s="1812"/>
      <c r="K108" s="1812"/>
      <c r="L108" s="1812"/>
      <c r="M108" s="1812"/>
      <c r="N108" s="1812"/>
      <c r="O108" s="1812"/>
      <c r="P108" s="1813"/>
      <c r="Q108" s="52"/>
      <c r="R108" s="52"/>
      <c r="S108" s="53"/>
      <c r="T108" s="1182"/>
      <c r="U108" s="1182"/>
      <c r="V108" s="1182"/>
    </row>
    <row r="109" spans="1:22" s="3" customFormat="1" ht="30" customHeight="1" thickBot="1" x14ac:dyDescent="0.3">
      <c r="A109" s="1814"/>
      <c r="B109" s="1815"/>
      <c r="C109" s="1815"/>
      <c r="D109" s="1815"/>
      <c r="E109" s="1815"/>
      <c r="F109" s="1815"/>
      <c r="G109" s="1815"/>
      <c r="H109" s="1815"/>
      <c r="I109" s="1815"/>
      <c r="J109" s="1815"/>
      <c r="K109" s="1815"/>
      <c r="L109" s="1815"/>
      <c r="M109" s="1815"/>
      <c r="N109" s="1815"/>
      <c r="O109" s="1815"/>
      <c r="P109" s="1816"/>
      <c r="Q109" s="52"/>
      <c r="R109" s="52"/>
      <c r="S109" s="53"/>
      <c r="T109" s="1182"/>
      <c r="U109" s="1182"/>
      <c r="V109" s="1182"/>
    </row>
    <row r="110" spans="1:22" s="4" customFormat="1" ht="51" customHeight="1" thickBot="1" x14ac:dyDescent="0.3">
      <c r="A110" s="953" t="s">
        <v>471</v>
      </c>
      <c r="B110" s="951" t="s">
        <v>472</v>
      </c>
      <c r="C110" s="950" t="s">
        <v>473</v>
      </c>
      <c r="D110" s="1817" t="s">
        <v>474</v>
      </c>
      <c r="E110" s="1818"/>
      <c r="F110" s="950" t="s">
        <v>475</v>
      </c>
      <c r="G110" s="952" t="s">
        <v>476</v>
      </c>
      <c r="H110" s="1817" t="s">
        <v>477</v>
      </c>
      <c r="I110" s="1818"/>
      <c r="J110" s="1817" t="s">
        <v>515</v>
      </c>
      <c r="K110" s="1818"/>
      <c r="L110" s="1817" t="s">
        <v>516</v>
      </c>
      <c r="M110" s="1818"/>
      <c r="N110" s="950" t="s">
        <v>517</v>
      </c>
      <c r="O110" s="951" t="s">
        <v>518</v>
      </c>
      <c r="P110" s="953" t="s">
        <v>482</v>
      </c>
      <c r="Q110" s="52"/>
      <c r="R110" s="52"/>
      <c r="S110" s="52"/>
      <c r="T110" s="1201"/>
      <c r="U110" s="1201"/>
      <c r="V110" s="1201"/>
    </row>
    <row r="111" spans="1:22" s="3" customFormat="1" ht="33" customHeight="1" x14ac:dyDescent="0.2">
      <c r="A111" s="117" t="s">
        <v>483</v>
      </c>
      <c r="B111" s="118"/>
      <c r="C111" s="119"/>
      <c r="D111" s="119"/>
      <c r="E111" s="119"/>
      <c r="F111" s="119"/>
      <c r="G111" s="119"/>
      <c r="H111" s="119"/>
      <c r="I111" s="119"/>
      <c r="J111" s="119"/>
      <c r="K111" s="119"/>
      <c r="L111" s="120"/>
      <c r="M111" s="119"/>
      <c r="N111" s="119"/>
      <c r="O111" s="121"/>
      <c r="P111" s="122" t="e">
        <f>SUM(P112:P124)</f>
        <v>#N/A</v>
      </c>
      <c r="Q111" s="52"/>
      <c r="R111" s="52"/>
      <c r="S111" s="53"/>
      <c r="T111" s="1182"/>
      <c r="U111" s="1182"/>
      <c r="V111" s="1182"/>
    </row>
    <row r="112" spans="1:22" s="3" customFormat="1" ht="33" customHeight="1" x14ac:dyDescent="0.25">
      <c r="A112" s="870" t="s">
        <v>484</v>
      </c>
      <c r="B112" s="871">
        <v>0</v>
      </c>
      <c r="C112" s="872" t="s">
        <v>485</v>
      </c>
      <c r="D112" s="873" t="e">
        <f>0.00024*B125</f>
        <v>#N/A</v>
      </c>
      <c r="E112" s="872">
        <v>1</v>
      </c>
      <c r="F112" s="872" t="s">
        <v>486</v>
      </c>
      <c r="G112" s="874">
        <v>1</v>
      </c>
      <c r="H112" s="875" t="e">
        <f>D112/G112</f>
        <v>#N/A</v>
      </c>
      <c r="I112" s="872" t="s">
        <v>487</v>
      </c>
      <c r="J112" s="872">
        <v>1</v>
      </c>
      <c r="K112" s="872" t="s">
        <v>487</v>
      </c>
      <c r="L112" s="876" t="e">
        <f>H112*J112</f>
        <v>#N/A</v>
      </c>
      <c r="M112" s="872" t="s">
        <v>487</v>
      </c>
      <c r="N112" s="877" t="e">
        <f>L112^2</f>
        <v>#N/A</v>
      </c>
      <c r="O112" s="878">
        <f>0.5*(100%-95%)^-2</f>
        <v>199.99999999999966</v>
      </c>
      <c r="P112" s="879" t="e">
        <f>(L112/$N$125)^2</f>
        <v>#N/A</v>
      </c>
      <c r="Q112" s="52"/>
      <c r="R112" s="52"/>
      <c r="S112" s="53"/>
      <c r="T112" s="1182"/>
      <c r="U112" s="1182"/>
      <c r="V112" s="1182"/>
    </row>
    <row r="113" spans="1:19" s="3" customFormat="1" ht="33" customHeight="1" x14ac:dyDescent="0.25">
      <c r="A113" s="123" t="s">
        <v>488</v>
      </c>
      <c r="B113" s="124" t="e">
        <f>AVERAGE(B67:D67)</f>
        <v>#N/A</v>
      </c>
      <c r="C113" s="125"/>
      <c r="D113" s="125"/>
      <c r="E113" s="125"/>
      <c r="F113" s="125"/>
      <c r="G113" s="125"/>
      <c r="H113" s="126"/>
      <c r="I113" s="125"/>
      <c r="J113" s="125"/>
      <c r="K113" s="125"/>
      <c r="L113" s="127"/>
      <c r="M113" s="125"/>
      <c r="N113" s="125"/>
      <c r="O113" s="128"/>
      <c r="P113" s="128"/>
      <c r="Q113" s="52"/>
      <c r="R113" s="52"/>
      <c r="S113" s="53"/>
    </row>
    <row r="114" spans="1:19" s="4" customFormat="1" ht="33" customHeight="1" x14ac:dyDescent="0.25">
      <c r="A114" s="870" t="s">
        <v>489</v>
      </c>
      <c r="B114" s="880">
        <v>0</v>
      </c>
      <c r="C114" s="872" t="s">
        <v>490</v>
      </c>
      <c r="D114" s="881" t="e">
        <f>VLOOKUP(B113,$C$23:$I$25,7,TRUE)</f>
        <v>#N/A</v>
      </c>
      <c r="E114" s="872" t="s">
        <v>35</v>
      </c>
      <c r="F114" s="872" t="s">
        <v>491</v>
      </c>
      <c r="G114" s="882" t="e">
        <f>O23</f>
        <v>#N/A</v>
      </c>
      <c r="H114" s="882" t="e">
        <f t="shared" ref="H114:H124" si="1">D114/G114</f>
        <v>#N/A</v>
      </c>
      <c r="I114" s="872" t="s">
        <v>35</v>
      </c>
      <c r="J114" s="883" t="e">
        <f>-((0.009 * B117) * (EXP(0.061 * B113) * 0.061)/(273.15 + B113) +
    (0.34848 * B121 - ((0.009 * B117) * EXP(0.061 * B113)))/(273.15 +
        B113)^2)</f>
        <v>#N/A</v>
      </c>
      <c r="K114" s="872" t="s">
        <v>492</v>
      </c>
      <c r="L114" s="876" t="e">
        <f>H114*J114</f>
        <v>#N/A</v>
      </c>
      <c r="M114" s="872" t="s">
        <v>487</v>
      </c>
      <c r="N114" s="877" t="e">
        <f>L114^2</f>
        <v>#N/A</v>
      </c>
      <c r="O114" s="878">
        <f>0.5*(100%-95.45%)^-2</f>
        <v>241.5167250332087</v>
      </c>
      <c r="P114" s="879" t="e">
        <f t="shared" ref="P114:P124" si="2">(L114/$N$125)^2</f>
        <v>#N/A</v>
      </c>
      <c r="Q114" s="52"/>
      <c r="R114" s="52"/>
      <c r="S114" s="52"/>
    </row>
    <row r="115" spans="1:19" s="3" customFormat="1" ht="33" customHeight="1" x14ac:dyDescent="0.25">
      <c r="A115" s="870" t="s">
        <v>493</v>
      </c>
      <c r="B115" s="880">
        <v>0</v>
      </c>
      <c r="C115" s="872" t="s">
        <v>494</v>
      </c>
      <c r="D115" s="881" t="e">
        <f>E23</f>
        <v>#N/A</v>
      </c>
      <c r="E115" s="872" t="s">
        <v>35</v>
      </c>
      <c r="F115" s="872" t="s">
        <v>495</v>
      </c>
      <c r="G115" s="882">
        <f>SQRT(12)</f>
        <v>3.4641016151377544</v>
      </c>
      <c r="H115" s="875" t="e">
        <f t="shared" si="1"/>
        <v>#N/A</v>
      </c>
      <c r="I115" s="872" t="s">
        <v>35</v>
      </c>
      <c r="J115" s="883" t="e">
        <f>-((0.009 * B117) * (EXP(0.061 * B113) * 0.061)/(273.15 + B113) +
    (0.34848 * B121 - ((0.009 * B117) * EXP(0.061 * B113)))/(273.15 +
        B113)^2)</f>
        <v>#N/A</v>
      </c>
      <c r="K115" s="872" t="s">
        <v>492</v>
      </c>
      <c r="L115" s="876" t="e">
        <f>H115*J115</f>
        <v>#N/A</v>
      </c>
      <c r="M115" s="872" t="s">
        <v>487</v>
      </c>
      <c r="N115" s="877" t="e">
        <f t="shared" ref="N115:N123" si="3">L115^2</f>
        <v>#N/A</v>
      </c>
      <c r="O115" s="884">
        <f>0.5*(100%-90%)^-2</f>
        <v>50.000000000000028</v>
      </c>
      <c r="P115" s="879" t="e">
        <f t="shared" si="2"/>
        <v>#N/A</v>
      </c>
      <c r="Q115" s="53"/>
      <c r="R115" s="52"/>
      <c r="S115" s="53"/>
    </row>
    <row r="116" spans="1:19" s="4" customFormat="1" ht="33" customHeight="1" x14ac:dyDescent="0.25">
      <c r="A116" s="870" t="s">
        <v>496</v>
      </c>
      <c r="B116" s="871">
        <v>0</v>
      </c>
      <c r="C116" s="872" t="s">
        <v>497</v>
      </c>
      <c r="D116" s="881">
        <v>0</v>
      </c>
      <c r="E116" s="872" t="s">
        <v>35</v>
      </c>
      <c r="F116" s="872" t="s">
        <v>495</v>
      </c>
      <c r="G116" s="882">
        <f>SQRT(12)</f>
        <v>3.4641016151377544</v>
      </c>
      <c r="H116" s="882">
        <f t="shared" si="1"/>
        <v>0</v>
      </c>
      <c r="I116" s="872" t="s">
        <v>35</v>
      </c>
      <c r="J116" s="883" t="e">
        <f>-((0.009 * B117) * (EXP(0.061 * B113) * 0.061)/(273.15 + B113) +
    (0.34848 * B121 - ((0.009 * B117) * EXP(0.061 * B113)))/(273.15 +
        B113)^2)</f>
        <v>#N/A</v>
      </c>
      <c r="K116" s="872" t="s">
        <v>492</v>
      </c>
      <c r="L116" s="876" t="e">
        <f>H116*J116</f>
        <v>#N/A</v>
      </c>
      <c r="M116" s="872" t="s">
        <v>487</v>
      </c>
      <c r="N116" s="877" t="e">
        <f>L116^2</f>
        <v>#N/A</v>
      </c>
      <c r="O116" s="884">
        <f>0.5*(100%-90%)^-2</f>
        <v>50.000000000000028</v>
      </c>
      <c r="P116" s="885" t="e">
        <f t="shared" si="2"/>
        <v>#N/A</v>
      </c>
      <c r="Q116" s="52"/>
      <c r="R116" s="52"/>
      <c r="S116" s="52"/>
    </row>
    <row r="117" spans="1:19" s="3" customFormat="1" ht="33" customHeight="1" x14ac:dyDescent="0.25">
      <c r="A117" s="123" t="s">
        <v>456</v>
      </c>
      <c r="B117" s="124" t="e">
        <f>AVERAGE(B68:D68)</f>
        <v>#N/A</v>
      </c>
      <c r="C117" s="125"/>
      <c r="D117" s="125"/>
      <c r="E117" s="125"/>
      <c r="F117" s="125"/>
      <c r="G117" s="125"/>
      <c r="H117" s="126"/>
      <c r="I117" s="125"/>
      <c r="J117" s="125"/>
      <c r="K117" s="125"/>
      <c r="L117" s="127"/>
      <c r="M117" s="125"/>
      <c r="N117" s="129"/>
      <c r="O117" s="128"/>
      <c r="P117" s="128"/>
      <c r="Q117" s="52"/>
      <c r="R117" s="52"/>
      <c r="S117" s="53"/>
    </row>
    <row r="118" spans="1:19" s="4" customFormat="1" ht="33" customHeight="1" x14ac:dyDescent="0.25">
      <c r="A118" s="870" t="s">
        <v>498</v>
      </c>
      <c r="B118" s="871">
        <v>0</v>
      </c>
      <c r="C118" s="872" t="s">
        <v>490</v>
      </c>
      <c r="D118" s="881" t="e">
        <f>VLOOKUP(B117,$C$26:$I$28,7,TRUE)</f>
        <v>#N/A</v>
      </c>
      <c r="E118" s="872" t="s">
        <v>499</v>
      </c>
      <c r="F118" s="872" t="s">
        <v>491</v>
      </c>
      <c r="G118" s="882" t="e">
        <f>O26</f>
        <v>#N/A</v>
      </c>
      <c r="H118" s="882" t="e">
        <f t="shared" si="1"/>
        <v>#N/A</v>
      </c>
      <c r="I118" s="872" t="s">
        <v>499</v>
      </c>
      <c r="J118" s="883" t="e">
        <f>-(0.009 * EXP(0.061 * B113)/(273.15 + B113))</f>
        <v>#N/A</v>
      </c>
      <c r="K118" s="872" t="s">
        <v>500</v>
      </c>
      <c r="L118" s="876" t="e">
        <f>H118*J118</f>
        <v>#N/A</v>
      </c>
      <c r="M118" s="872" t="s">
        <v>487</v>
      </c>
      <c r="N118" s="877" t="e">
        <f t="shared" si="3"/>
        <v>#N/A</v>
      </c>
      <c r="O118" s="878">
        <f>0.5*(100%-95.45%)^-2</f>
        <v>241.5167250332087</v>
      </c>
      <c r="P118" s="879" t="e">
        <f t="shared" si="2"/>
        <v>#N/A</v>
      </c>
      <c r="Q118" s="52"/>
      <c r="R118" s="52"/>
      <c r="S118" s="52"/>
    </row>
    <row r="119" spans="1:19" s="3" customFormat="1" ht="33" customHeight="1" x14ac:dyDescent="0.25">
      <c r="A119" s="870" t="s">
        <v>501</v>
      </c>
      <c r="B119" s="871">
        <v>0</v>
      </c>
      <c r="C119" s="872" t="s">
        <v>494</v>
      </c>
      <c r="D119" s="881" t="e">
        <f>E26</f>
        <v>#N/A</v>
      </c>
      <c r="E119" s="872" t="s">
        <v>499</v>
      </c>
      <c r="F119" s="872" t="s">
        <v>495</v>
      </c>
      <c r="G119" s="882">
        <f>SQRT(12)</f>
        <v>3.4641016151377544</v>
      </c>
      <c r="H119" s="883" t="e">
        <f t="shared" si="1"/>
        <v>#N/A</v>
      </c>
      <c r="I119" s="872" t="s">
        <v>499</v>
      </c>
      <c r="J119" s="883" t="e">
        <f>-(0.009 * EXP(0.061 * B113)/(273.15 + B113))</f>
        <v>#N/A</v>
      </c>
      <c r="K119" s="872" t="s">
        <v>500</v>
      </c>
      <c r="L119" s="876" t="e">
        <f>H119*J119</f>
        <v>#N/A</v>
      </c>
      <c r="M119" s="872" t="s">
        <v>487</v>
      </c>
      <c r="N119" s="877" t="e">
        <f t="shared" si="3"/>
        <v>#N/A</v>
      </c>
      <c r="O119" s="884">
        <f>0.5*(100%-90%)^-2</f>
        <v>50.000000000000028</v>
      </c>
      <c r="P119" s="886" t="e">
        <f t="shared" si="2"/>
        <v>#N/A</v>
      </c>
      <c r="Q119" s="52"/>
      <c r="R119" s="52"/>
      <c r="S119" s="53"/>
    </row>
    <row r="120" spans="1:19" s="4" customFormat="1" ht="33" customHeight="1" x14ac:dyDescent="0.25">
      <c r="A120" s="870" t="s">
        <v>502</v>
      </c>
      <c r="B120" s="871">
        <v>0</v>
      </c>
      <c r="C120" s="872" t="s">
        <v>497</v>
      </c>
      <c r="D120" s="881">
        <v>0</v>
      </c>
      <c r="E120" s="872" t="s">
        <v>499</v>
      </c>
      <c r="F120" s="872" t="s">
        <v>495</v>
      </c>
      <c r="G120" s="882">
        <f>SQRT(12)</f>
        <v>3.4641016151377544</v>
      </c>
      <c r="H120" s="882">
        <f t="shared" si="1"/>
        <v>0</v>
      </c>
      <c r="I120" s="872" t="s">
        <v>499</v>
      </c>
      <c r="J120" s="883" t="e">
        <f>-(0.009 * EXP(0.061 * B113)/(273.15 + B113))</f>
        <v>#N/A</v>
      </c>
      <c r="K120" s="872" t="s">
        <v>500</v>
      </c>
      <c r="L120" s="876" t="e">
        <f>H120*J120</f>
        <v>#N/A</v>
      </c>
      <c r="M120" s="872" t="s">
        <v>487</v>
      </c>
      <c r="N120" s="877" t="e">
        <f t="shared" si="3"/>
        <v>#N/A</v>
      </c>
      <c r="O120" s="884">
        <f>0.5*(100%-90%)^-2</f>
        <v>50.000000000000028</v>
      </c>
      <c r="P120" s="885" t="e">
        <f t="shared" si="2"/>
        <v>#N/A</v>
      </c>
      <c r="Q120" s="52"/>
      <c r="R120" s="52"/>
      <c r="S120" s="52"/>
    </row>
    <row r="121" spans="1:19" s="3" customFormat="1" ht="33" customHeight="1" x14ac:dyDescent="0.25">
      <c r="A121" s="123" t="s">
        <v>503</v>
      </c>
      <c r="B121" s="124" t="e">
        <f>AVERAGE(B69:D69)</f>
        <v>#N/A</v>
      </c>
      <c r="C121" s="125"/>
      <c r="D121" s="125"/>
      <c r="E121" s="125"/>
      <c r="F121" s="125"/>
      <c r="G121" s="125"/>
      <c r="H121" s="126"/>
      <c r="I121" s="125"/>
      <c r="J121" s="125"/>
      <c r="K121" s="125"/>
      <c r="L121" s="127"/>
      <c r="M121" s="125"/>
      <c r="N121" s="129"/>
      <c r="O121" s="128"/>
      <c r="P121" s="128"/>
      <c r="Q121" s="52"/>
      <c r="R121" s="52"/>
      <c r="S121" s="53"/>
    </row>
    <row r="122" spans="1:19" s="4" customFormat="1" ht="33" customHeight="1" x14ac:dyDescent="0.25">
      <c r="A122" s="870" t="s">
        <v>504</v>
      </c>
      <c r="B122" s="871">
        <v>0</v>
      </c>
      <c r="C122" s="872" t="s">
        <v>490</v>
      </c>
      <c r="D122" s="887" t="e">
        <f>I30</f>
        <v>#N/A</v>
      </c>
      <c r="E122" s="872" t="s">
        <v>129</v>
      </c>
      <c r="F122" s="872" t="s">
        <v>491</v>
      </c>
      <c r="G122" s="881" t="e">
        <f>O29</f>
        <v>#N/A</v>
      </c>
      <c r="H122" s="887" t="e">
        <f t="shared" si="1"/>
        <v>#N/A</v>
      </c>
      <c r="I122" s="872" t="s">
        <v>129</v>
      </c>
      <c r="J122" s="877" t="e">
        <f>0.34848/(273.15 + B113)</f>
        <v>#N/A</v>
      </c>
      <c r="K122" s="872" t="s">
        <v>505</v>
      </c>
      <c r="L122" s="876" t="e">
        <f>H122*J122</f>
        <v>#N/A</v>
      </c>
      <c r="M122" s="872" t="s">
        <v>487</v>
      </c>
      <c r="N122" s="877" t="e">
        <f t="shared" si="3"/>
        <v>#N/A</v>
      </c>
      <c r="O122" s="878">
        <f>0.5*(100%-95.45%)^-2</f>
        <v>241.5167250332087</v>
      </c>
      <c r="P122" s="879" t="e">
        <f t="shared" si="2"/>
        <v>#N/A</v>
      </c>
      <c r="Q122" s="52"/>
      <c r="R122" s="52"/>
      <c r="S122" s="52"/>
    </row>
    <row r="123" spans="1:19" s="3" customFormat="1" ht="33" customHeight="1" x14ac:dyDescent="0.25">
      <c r="A123" s="870" t="s">
        <v>506</v>
      </c>
      <c r="B123" s="871">
        <v>0</v>
      </c>
      <c r="C123" s="872" t="s">
        <v>494</v>
      </c>
      <c r="D123" s="881" t="e">
        <f>E29</f>
        <v>#N/A</v>
      </c>
      <c r="E123" s="872" t="s">
        <v>129</v>
      </c>
      <c r="F123" s="872" t="s">
        <v>495</v>
      </c>
      <c r="G123" s="882">
        <f>SQRT(12)</f>
        <v>3.4641016151377544</v>
      </c>
      <c r="H123" s="876" t="e">
        <f t="shared" si="1"/>
        <v>#N/A</v>
      </c>
      <c r="I123" s="872" t="s">
        <v>129</v>
      </c>
      <c r="J123" s="877" t="e">
        <f>0.34848/(273.15 + B113)</f>
        <v>#N/A</v>
      </c>
      <c r="K123" s="872" t="s">
        <v>505</v>
      </c>
      <c r="L123" s="876" t="e">
        <f>H123*J123</f>
        <v>#N/A</v>
      </c>
      <c r="M123" s="872" t="s">
        <v>487</v>
      </c>
      <c r="N123" s="877" t="e">
        <f t="shared" si="3"/>
        <v>#N/A</v>
      </c>
      <c r="O123" s="884">
        <f>0.5*(100%-90%)^-2</f>
        <v>50.000000000000028</v>
      </c>
      <c r="P123" s="885" t="e">
        <f t="shared" si="2"/>
        <v>#N/A</v>
      </c>
      <c r="Q123" s="52"/>
      <c r="R123" s="52"/>
      <c r="S123" s="53"/>
    </row>
    <row r="124" spans="1:19" s="4" customFormat="1" ht="33" customHeight="1" thickBot="1" x14ac:dyDescent="0.3">
      <c r="A124" s="888" t="s">
        <v>507</v>
      </c>
      <c r="B124" s="889">
        <v>0</v>
      </c>
      <c r="C124" s="890" t="s">
        <v>497</v>
      </c>
      <c r="D124" s="891">
        <v>0</v>
      </c>
      <c r="E124" s="890" t="s">
        <v>129</v>
      </c>
      <c r="F124" s="872" t="s">
        <v>495</v>
      </c>
      <c r="G124" s="892">
        <f>SQRT(12)</f>
        <v>3.4641016151377544</v>
      </c>
      <c r="H124" s="892">
        <f t="shared" si="1"/>
        <v>0</v>
      </c>
      <c r="I124" s="890" t="s">
        <v>129</v>
      </c>
      <c r="J124" s="893" t="e">
        <f>0.34848/(273.15 + B113)</f>
        <v>#N/A</v>
      </c>
      <c r="K124" s="890" t="s">
        <v>505</v>
      </c>
      <c r="L124" s="894" t="e">
        <f>H124*J124</f>
        <v>#N/A</v>
      </c>
      <c r="M124" s="890" t="s">
        <v>487</v>
      </c>
      <c r="N124" s="893" t="e">
        <f>L124^2</f>
        <v>#N/A</v>
      </c>
      <c r="O124" s="895">
        <f>0.5*(100%-90%)^-2</f>
        <v>50.000000000000028</v>
      </c>
      <c r="P124" s="896" t="e">
        <f t="shared" si="2"/>
        <v>#N/A</v>
      </c>
      <c r="Q124" s="52"/>
      <c r="R124" s="52"/>
      <c r="S124" s="52"/>
    </row>
    <row r="125" spans="1:19" s="3" customFormat="1" ht="33" customHeight="1" thickBot="1" x14ac:dyDescent="0.3">
      <c r="A125" s="130" t="s">
        <v>508</v>
      </c>
      <c r="B125" s="901" t="e">
        <f>(0.34848*B121-((0.009*B117)*EXP(0.061*B113)))/(273.15+B113)</f>
        <v>#N/A</v>
      </c>
      <c r="C125" s="131"/>
      <c r="D125" s="131"/>
      <c r="E125" s="131"/>
      <c r="F125" s="131"/>
      <c r="G125" s="131"/>
      <c r="H125" s="131"/>
      <c r="I125" s="131"/>
      <c r="J125" s="131"/>
      <c r="K125" s="132"/>
      <c r="L125" s="1785" t="s">
        <v>509</v>
      </c>
      <c r="M125" s="1786"/>
      <c r="N125" s="897" t="e">
        <f>SQRT(N112+N114+N115+N118+N119+N122+N123+N116+N120+N124)</f>
        <v>#N/A</v>
      </c>
      <c r="O125" s="898" t="s">
        <v>510</v>
      </c>
      <c r="P125" s="53"/>
      <c r="Q125" s="52"/>
      <c r="R125" s="52"/>
      <c r="S125" s="53"/>
    </row>
    <row r="126" spans="1:19" s="4" customFormat="1" ht="33" customHeight="1" thickBot="1" x14ac:dyDescent="0.3">
      <c r="A126" s="130" t="s">
        <v>483</v>
      </c>
      <c r="B126" s="902" t="e">
        <f>B125/1000</f>
        <v>#N/A</v>
      </c>
      <c r="C126" s="131"/>
      <c r="D126" s="133"/>
      <c r="E126" s="131"/>
      <c r="F126" s="131"/>
      <c r="G126" s="131"/>
      <c r="H126" s="133"/>
      <c r="I126" s="133"/>
      <c r="J126" s="131"/>
      <c r="K126" s="131"/>
      <c r="L126" s="1785" t="s">
        <v>511</v>
      </c>
      <c r="M126" s="1786"/>
      <c r="N126" s="811" t="e">
        <f>N125^4/((L112^4/O112)+(L114^4/O114)+(L115^4/O115)+(L118^4/O118)+(L119^4/O119)+(L122^4/O122)+(L123^4/O123)+(L116^4/O116)+(L120^4/O120)+(L124^4/O124))</f>
        <v>#N/A</v>
      </c>
      <c r="O126" s="810" t="e">
        <f>_xlfn.T.INV.2T(0.05,N126)</f>
        <v>#N/A</v>
      </c>
      <c r="P126" s="113"/>
      <c r="Q126" s="52"/>
      <c r="R126" s="52"/>
      <c r="S126" s="52"/>
    </row>
    <row r="127" spans="1:19" s="3" customFormat="1" ht="33" customHeight="1" thickBot="1" x14ac:dyDescent="0.3">
      <c r="A127" s="134"/>
      <c r="B127" s="135"/>
      <c r="C127" s="136"/>
      <c r="D127" s="136"/>
      <c r="E127" s="136"/>
      <c r="F127" s="136"/>
      <c r="G127" s="136"/>
      <c r="H127" s="136"/>
      <c r="I127" s="136"/>
      <c r="J127" s="136"/>
      <c r="K127" s="137"/>
      <c r="L127" s="1785" t="s">
        <v>512</v>
      </c>
      <c r="M127" s="1786"/>
      <c r="N127" s="899" t="e">
        <f>N125*O126</f>
        <v>#N/A</v>
      </c>
      <c r="O127" s="900" t="s">
        <v>510</v>
      </c>
      <c r="P127" s="53"/>
      <c r="Q127" s="52"/>
      <c r="R127" s="52"/>
      <c r="S127" s="53"/>
    </row>
    <row r="128" spans="1:19" s="4" customFormat="1" ht="33" customHeight="1" thickBot="1" x14ac:dyDescent="0.3">
      <c r="A128" s="136"/>
      <c r="B128" s="136"/>
      <c r="C128" s="136"/>
      <c r="D128" s="136"/>
      <c r="E128" s="136"/>
      <c r="F128" s="136"/>
      <c r="G128" s="136"/>
      <c r="H128" s="136"/>
      <c r="I128" s="136"/>
      <c r="J128" s="136"/>
      <c r="K128" s="137"/>
      <c r="L128" s="1785" t="s">
        <v>509</v>
      </c>
      <c r="M128" s="1786"/>
      <c r="N128" s="899" t="e">
        <f>N125/1000</f>
        <v>#N/A</v>
      </c>
      <c r="O128" s="900" t="s">
        <v>513</v>
      </c>
      <c r="P128" s="88"/>
      <c r="Q128" s="52"/>
      <c r="R128" s="52"/>
      <c r="S128" s="52"/>
    </row>
    <row r="129" spans="1:19" s="3" customFormat="1" ht="33" customHeight="1" x14ac:dyDescent="0.25">
      <c r="A129" s="52"/>
      <c r="B129" s="53"/>
      <c r="C129" s="53"/>
      <c r="D129" s="53"/>
      <c r="E129" s="55"/>
      <c r="F129" s="55"/>
      <c r="G129" s="53"/>
      <c r="H129" s="53"/>
      <c r="I129" s="53"/>
      <c r="J129" s="53"/>
      <c r="K129" s="53"/>
      <c r="L129" s="138"/>
      <c r="M129" s="50"/>
      <c r="N129" s="53"/>
      <c r="O129" s="53"/>
      <c r="P129" s="53"/>
      <c r="Q129" s="52"/>
      <c r="R129" s="52"/>
      <c r="S129" s="53"/>
    </row>
    <row r="130" spans="1:19" s="4" customFormat="1" ht="33" customHeight="1" x14ac:dyDescent="0.25">
      <c r="A130" s="52"/>
      <c r="B130" s="1759"/>
      <c r="C130" s="1759"/>
      <c r="D130" s="1759"/>
      <c r="E130" s="55"/>
      <c r="F130" s="55"/>
      <c r="G130" s="53"/>
      <c r="H130" s="53"/>
      <c r="I130" s="53"/>
      <c r="J130" s="53"/>
      <c r="K130" s="71"/>
      <c r="L130" s="139"/>
      <c r="M130" s="50"/>
      <c r="N130" s="53"/>
      <c r="O130" s="53"/>
      <c r="P130" s="53"/>
      <c r="Q130" s="52"/>
      <c r="R130" s="52"/>
      <c r="S130" s="52"/>
    </row>
    <row r="131" spans="1:19" s="4" customFormat="1" ht="33" customHeight="1" thickBot="1" x14ac:dyDescent="0.3">
      <c r="A131" s="52"/>
      <c r="B131" s="53"/>
      <c r="C131" s="53"/>
      <c r="D131" s="53"/>
      <c r="E131" s="53"/>
      <c r="F131" s="53"/>
      <c r="G131" s="53"/>
      <c r="H131" s="53"/>
      <c r="I131" s="53"/>
      <c r="J131" s="53"/>
      <c r="K131" s="53"/>
      <c r="L131" s="140"/>
      <c r="M131" s="50"/>
      <c r="N131" s="50"/>
      <c r="O131" s="53"/>
      <c r="P131" s="53"/>
      <c r="Q131" s="52"/>
      <c r="R131" s="52"/>
      <c r="S131" s="52"/>
    </row>
    <row r="132" spans="1:19" s="4" customFormat="1" ht="33" customHeight="1" x14ac:dyDescent="0.25">
      <c r="A132" s="1811" t="s">
        <v>514</v>
      </c>
      <c r="B132" s="1812"/>
      <c r="C132" s="1812"/>
      <c r="D132" s="1812"/>
      <c r="E132" s="1812"/>
      <c r="F132" s="1812"/>
      <c r="G132" s="1812"/>
      <c r="H132" s="1812"/>
      <c r="I132" s="1812"/>
      <c r="J132" s="1812"/>
      <c r="K132" s="1812"/>
      <c r="L132" s="1812"/>
      <c r="M132" s="1812"/>
      <c r="N132" s="1812"/>
      <c r="O132" s="1812"/>
      <c r="P132" s="1813"/>
      <c r="Q132" s="52"/>
      <c r="R132" s="52"/>
      <c r="S132" s="52"/>
    </row>
    <row r="133" spans="1:19" s="4" customFormat="1" ht="33" customHeight="1" thickBot="1" x14ac:dyDescent="0.3">
      <c r="A133" s="1814"/>
      <c r="B133" s="1815"/>
      <c r="C133" s="1815"/>
      <c r="D133" s="1815"/>
      <c r="E133" s="1815"/>
      <c r="F133" s="1815"/>
      <c r="G133" s="1815"/>
      <c r="H133" s="1815"/>
      <c r="I133" s="1815"/>
      <c r="J133" s="1815"/>
      <c r="K133" s="1815"/>
      <c r="L133" s="1815"/>
      <c r="M133" s="1815"/>
      <c r="N133" s="1815"/>
      <c r="O133" s="1815"/>
      <c r="P133" s="1816"/>
      <c r="Q133" s="52"/>
      <c r="R133" s="52"/>
      <c r="S133" s="52"/>
    </row>
    <row r="134" spans="1:19" s="4" customFormat="1" ht="33" customHeight="1" thickBot="1" x14ac:dyDescent="0.3">
      <c r="A134" s="950" t="s">
        <v>471</v>
      </c>
      <c r="B134" s="951" t="s">
        <v>472</v>
      </c>
      <c r="C134" s="950" t="s">
        <v>473</v>
      </c>
      <c r="D134" s="1753" t="s">
        <v>474</v>
      </c>
      <c r="E134" s="1754"/>
      <c r="F134" s="950" t="s">
        <v>475</v>
      </c>
      <c r="G134" s="952" t="s">
        <v>476</v>
      </c>
      <c r="H134" s="1753" t="s">
        <v>477</v>
      </c>
      <c r="I134" s="1754"/>
      <c r="J134" s="1751" t="s">
        <v>515</v>
      </c>
      <c r="K134" s="1751"/>
      <c r="L134" s="1753" t="s">
        <v>516</v>
      </c>
      <c r="M134" s="1754"/>
      <c r="N134" s="950" t="s">
        <v>517</v>
      </c>
      <c r="O134" s="951" t="s">
        <v>518</v>
      </c>
      <c r="P134" s="953" t="s">
        <v>519</v>
      </c>
      <c r="Q134" s="52"/>
      <c r="R134" s="52"/>
      <c r="S134" s="52"/>
    </row>
    <row r="135" spans="1:19" s="4" customFormat="1" ht="33" customHeight="1" x14ac:dyDescent="0.25">
      <c r="A135" s="141" t="s">
        <v>520</v>
      </c>
      <c r="B135" s="142"/>
      <c r="C135" s="143"/>
      <c r="D135" s="144"/>
      <c r="E135" s="143"/>
      <c r="F135" s="143"/>
      <c r="G135" s="143"/>
      <c r="H135" s="143"/>
      <c r="I135" s="143"/>
      <c r="J135" s="143"/>
      <c r="K135" s="143"/>
      <c r="L135" s="145"/>
      <c r="M135" s="143"/>
      <c r="N135" s="143"/>
      <c r="O135" s="146"/>
      <c r="P135" s="122" t="e">
        <f>SUM(P136:P146)</f>
        <v>#DIV/0!</v>
      </c>
      <c r="Q135" s="52"/>
      <c r="R135" s="52"/>
      <c r="S135" s="52"/>
    </row>
    <row r="136" spans="1:19" s="4" customFormat="1" ht="33" customHeight="1" x14ac:dyDescent="0.25">
      <c r="A136" s="1011" t="s">
        <v>521</v>
      </c>
      <c r="B136" s="1012">
        <v>0</v>
      </c>
      <c r="C136" s="1013" t="s">
        <v>522</v>
      </c>
      <c r="D136" s="1014" t="e">
        <f>SQRT(SUMSQ(H140:H142))*(((-0.1176*B139^2)+(15.846*B139)-62.677)*0.000001)*B147</f>
        <v>#DIV/0!</v>
      </c>
      <c r="E136" s="1015" t="s">
        <v>523</v>
      </c>
      <c r="F136" s="1016" t="s">
        <v>486</v>
      </c>
      <c r="G136" s="1016">
        <v>1</v>
      </c>
      <c r="H136" s="1017" t="e">
        <f>D136/G136</f>
        <v>#DIV/0!</v>
      </c>
      <c r="I136" s="1016" t="s">
        <v>523</v>
      </c>
      <c r="J136" s="1016">
        <v>1</v>
      </c>
      <c r="K136" s="1016" t="s">
        <v>523</v>
      </c>
      <c r="L136" s="1017" t="e">
        <f>H136*J136</f>
        <v>#DIV/0!</v>
      </c>
      <c r="M136" s="1016" t="s">
        <v>523</v>
      </c>
      <c r="N136" s="1017" t="e">
        <f>L136^2</f>
        <v>#DIV/0!</v>
      </c>
      <c r="O136" s="1018">
        <f>0.5*(100%-93%)^-2</f>
        <v>102.04081632653076</v>
      </c>
      <c r="P136" s="1019" t="e">
        <f>(L136/$N$147)^2</f>
        <v>#DIV/0!</v>
      </c>
      <c r="Q136" s="52"/>
      <c r="R136" s="52"/>
      <c r="S136" s="52"/>
    </row>
    <row r="137" spans="1:19" s="4" customFormat="1" ht="33" customHeight="1" x14ac:dyDescent="0.25">
      <c r="A137" s="1011" t="s">
        <v>524</v>
      </c>
      <c r="B137" s="1012">
        <v>0</v>
      </c>
      <c r="C137" s="1013" t="s">
        <v>525</v>
      </c>
      <c r="D137" s="1014" t="e">
        <f>E32</f>
        <v>#N/A</v>
      </c>
      <c r="E137" s="1015" t="s">
        <v>523</v>
      </c>
      <c r="F137" s="1016" t="s">
        <v>486</v>
      </c>
      <c r="G137" s="1020">
        <f>SQRT(12)</f>
        <v>3.4641016151377544</v>
      </c>
      <c r="H137" s="1017" t="e">
        <f>D137/G137</f>
        <v>#N/A</v>
      </c>
      <c r="I137" s="1016" t="s">
        <v>523</v>
      </c>
      <c r="J137" s="1016">
        <v>1</v>
      </c>
      <c r="K137" s="1016" t="s">
        <v>523</v>
      </c>
      <c r="L137" s="1017" t="e">
        <f>H137*J137</f>
        <v>#N/A</v>
      </c>
      <c r="M137" s="1016" t="s">
        <v>523</v>
      </c>
      <c r="N137" s="1017" t="e">
        <f>L137^2</f>
        <v>#N/A</v>
      </c>
      <c r="O137" s="1018">
        <f>0.5*(100%-93%)^-2</f>
        <v>102.04081632653076</v>
      </c>
      <c r="P137" s="1019" t="e">
        <f t="shared" ref="P137:P146" si="4">(L137/$N$147)^2</f>
        <v>#N/A</v>
      </c>
      <c r="Q137" s="52"/>
      <c r="R137" s="52"/>
      <c r="S137" s="52"/>
    </row>
    <row r="138" spans="1:19" s="4" customFormat="1" ht="33" customHeight="1" x14ac:dyDescent="0.25">
      <c r="A138" s="1011" t="s">
        <v>484</v>
      </c>
      <c r="B138" s="1012">
        <v>0</v>
      </c>
      <c r="C138" s="1013" t="s">
        <v>526</v>
      </c>
      <c r="D138" s="1014" t="e">
        <f>I32</f>
        <v>#N/A</v>
      </c>
      <c r="E138" s="1015" t="s">
        <v>523</v>
      </c>
      <c r="F138" s="1016" t="s">
        <v>486</v>
      </c>
      <c r="G138" s="1021">
        <v>1</v>
      </c>
      <c r="H138" s="1017" t="e">
        <f>D138/G138</f>
        <v>#N/A</v>
      </c>
      <c r="I138" s="1016" t="s">
        <v>523</v>
      </c>
      <c r="J138" s="1016">
        <v>1</v>
      </c>
      <c r="K138" s="1016" t="s">
        <v>523</v>
      </c>
      <c r="L138" s="1017" t="e">
        <f>H138*J138</f>
        <v>#N/A</v>
      </c>
      <c r="M138" s="1016" t="s">
        <v>523</v>
      </c>
      <c r="N138" s="1017" t="e">
        <f>L138^2</f>
        <v>#N/A</v>
      </c>
      <c r="O138" s="1018">
        <f>0.5*(100%-93%)^-2</f>
        <v>102.04081632653076</v>
      </c>
      <c r="P138" s="1022" t="e">
        <f t="shared" si="4"/>
        <v>#N/A</v>
      </c>
      <c r="Q138" s="52"/>
      <c r="R138" s="52"/>
      <c r="S138" s="52"/>
    </row>
    <row r="139" spans="1:19" s="4" customFormat="1" ht="33" customHeight="1" x14ac:dyDescent="0.25">
      <c r="A139" s="147" t="s">
        <v>527</v>
      </c>
      <c r="B139" s="148" t="e">
        <f>AVERAGE(B88:D88)</f>
        <v>#DIV/0!</v>
      </c>
      <c r="C139" s="149"/>
      <c r="D139" s="150"/>
      <c r="E139" s="149"/>
      <c r="F139" s="149"/>
      <c r="G139" s="149"/>
      <c r="H139" s="149"/>
      <c r="I139" s="149"/>
      <c r="J139" s="149"/>
      <c r="K139" s="149"/>
      <c r="L139" s="151"/>
      <c r="M139" s="149"/>
      <c r="N139" s="149"/>
      <c r="O139" s="152"/>
      <c r="P139" s="152"/>
      <c r="Q139" s="52"/>
      <c r="R139" s="52"/>
      <c r="S139" s="52"/>
    </row>
    <row r="140" spans="1:19" s="4" customFormat="1" ht="33" customHeight="1" x14ac:dyDescent="0.25">
      <c r="A140" s="1011" t="s">
        <v>489</v>
      </c>
      <c r="B140" s="1012">
        <v>0</v>
      </c>
      <c r="C140" s="1016" t="s">
        <v>490</v>
      </c>
      <c r="D140" s="1023" t="e">
        <f>VLOOKUP(B139,C8:I12,7,TRUE)</f>
        <v>#DIV/0!</v>
      </c>
      <c r="E140" s="1016" t="s">
        <v>35</v>
      </c>
      <c r="F140" s="1016" t="s">
        <v>491</v>
      </c>
      <c r="G140" s="1024" t="str">
        <f>O8</f>
        <v>N/A</v>
      </c>
      <c r="H140" s="1016" t="e">
        <f>D140/G140</f>
        <v>#DIV/0!</v>
      </c>
      <c r="I140" s="1016" t="s">
        <v>35</v>
      </c>
      <c r="J140" s="1016"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0" s="1016" t="s">
        <v>528</v>
      </c>
      <c r="L140" s="1017" t="e">
        <f>H140*J140</f>
        <v>#DIV/0!</v>
      </c>
      <c r="M140" s="1016" t="s">
        <v>523</v>
      </c>
      <c r="N140" s="1017" t="e">
        <f>L140^2</f>
        <v>#DIV/0!</v>
      </c>
      <c r="O140" s="1018">
        <f>0.5*(100%-95%)^-2</f>
        <v>199.99999999999966</v>
      </c>
      <c r="P140" s="1019" t="e">
        <f t="shared" si="4"/>
        <v>#DIV/0!</v>
      </c>
      <c r="Q140" s="52"/>
      <c r="R140" s="52"/>
      <c r="S140" s="52"/>
    </row>
    <row r="141" spans="1:19" s="4" customFormat="1" ht="33" customHeight="1" x14ac:dyDescent="0.25">
      <c r="A141" s="1011" t="s">
        <v>529</v>
      </c>
      <c r="B141" s="1025">
        <v>0</v>
      </c>
      <c r="C141" s="1016" t="s">
        <v>530</v>
      </c>
      <c r="D141" s="1023" t="str">
        <f>E8</f>
        <v>N/A</v>
      </c>
      <c r="E141" s="1016" t="s">
        <v>35</v>
      </c>
      <c r="F141" s="1016" t="s">
        <v>495</v>
      </c>
      <c r="G141" s="1020">
        <f>SQRT(12)</f>
        <v>3.4641016151377544</v>
      </c>
      <c r="H141" s="1016" t="e">
        <f>D141/G141</f>
        <v>#VALUE!</v>
      </c>
      <c r="I141" s="1016" t="s">
        <v>35</v>
      </c>
      <c r="J141" s="1016"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1" s="1016" t="s">
        <v>528</v>
      </c>
      <c r="L141" s="1017" t="e">
        <f>H141*J141</f>
        <v>#VALUE!</v>
      </c>
      <c r="M141" s="1016" t="s">
        <v>523</v>
      </c>
      <c r="N141" s="1017" t="e">
        <f t="shared" ref="N141:N146" si="5">L141^2</f>
        <v>#VALUE!</v>
      </c>
      <c r="O141" s="1018">
        <f>0.5*(100%-93%)^-2</f>
        <v>102.04081632653076</v>
      </c>
      <c r="P141" s="1026" t="e">
        <f t="shared" si="4"/>
        <v>#VALUE!</v>
      </c>
      <c r="Q141" s="52"/>
      <c r="R141" s="52"/>
      <c r="S141" s="52"/>
    </row>
    <row r="142" spans="1:19" s="4" customFormat="1" ht="33" customHeight="1" x14ac:dyDescent="0.25">
      <c r="A142" s="1011" t="s">
        <v>496</v>
      </c>
      <c r="B142" s="1012">
        <v>0</v>
      </c>
      <c r="C142" s="1016" t="s">
        <v>531</v>
      </c>
      <c r="D142" s="1027" t="e">
        <f>VLOOKUP(B139,C8:K12,9,TRUE)</f>
        <v>#DIV/0!</v>
      </c>
      <c r="E142" s="1016" t="s">
        <v>35</v>
      </c>
      <c r="F142" s="1016" t="s">
        <v>495</v>
      </c>
      <c r="G142" s="1020">
        <f>SQRT(12)</f>
        <v>3.4641016151377544</v>
      </c>
      <c r="H142" s="1016" t="e">
        <f>D142/G142</f>
        <v>#DIV/0!</v>
      </c>
      <c r="I142" s="1016" t="s">
        <v>35</v>
      </c>
      <c r="J142" s="1016"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2" s="1016" t="s">
        <v>528</v>
      </c>
      <c r="L142" s="1017" t="e">
        <f>H142*J142</f>
        <v>#DIV/0!</v>
      </c>
      <c r="M142" s="1016" t="s">
        <v>523</v>
      </c>
      <c r="N142" s="1017" t="e">
        <f t="shared" si="5"/>
        <v>#DIV/0!</v>
      </c>
      <c r="O142" s="1018">
        <f>0.5*(100%-93%)^-2</f>
        <v>102.04081632653076</v>
      </c>
      <c r="P142" s="1028" t="e">
        <f t="shared" si="4"/>
        <v>#DIV/0!</v>
      </c>
      <c r="Q142" s="52"/>
      <c r="R142" s="52"/>
      <c r="S142" s="52"/>
    </row>
    <row r="143" spans="1:19" s="4" customFormat="1" ht="33" customHeight="1" x14ac:dyDescent="0.25">
      <c r="A143" s="147" t="s">
        <v>503</v>
      </c>
      <c r="B143" s="153" t="e">
        <f>AVERAGE(B69:D69)</f>
        <v>#N/A</v>
      </c>
      <c r="C143" s="149"/>
      <c r="D143" s="149"/>
      <c r="E143" s="149"/>
      <c r="F143" s="149"/>
      <c r="G143" s="149"/>
      <c r="H143" s="149"/>
      <c r="I143" s="149"/>
      <c r="J143" s="149"/>
      <c r="K143" s="149"/>
      <c r="L143" s="151"/>
      <c r="M143" s="149"/>
      <c r="N143" s="151"/>
      <c r="O143" s="152"/>
      <c r="P143" s="152"/>
      <c r="Q143" s="52"/>
      <c r="R143" s="52"/>
      <c r="S143" s="52"/>
    </row>
    <row r="144" spans="1:19" s="4" customFormat="1" ht="33" customHeight="1" x14ac:dyDescent="0.25">
      <c r="A144" s="1011" t="s">
        <v>504</v>
      </c>
      <c r="B144" s="1012">
        <v>0</v>
      </c>
      <c r="C144" s="1016" t="s">
        <v>490</v>
      </c>
      <c r="D144" s="1023" t="e">
        <f>D122</f>
        <v>#N/A</v>
      </c>
      <c r="E144" s="1016" t="s">
        <v>129</v>
      </c>
      <c r="F144" s="1016" t="s">
        <v>491</v>
      </c>
      <c r="G144" s="1021" t="e">
        <f>O29</f>
        <v>#N/A</v>
      </c>
      <c r="H144" s="1016" t="e">
        <f>D144/G144</f>
        <v>#N/A</v>
      </c>
      <c r="I144" s="1016" t="s">
        <v>129</v>
      </c>
      <c r="J144" s="1029" t="e">
        <f>(999.972 * (1 - ((((B139) + -3.983035)^2 * ((B139) + 301.797))/(522528.9 *
    ((B139) + 69.34881))))) * ((0.0000000005074 + (-0.00000000000326) * (B139) +
    0.0000000000000416 * (B139)^2) * 100)/1000</f>
        <v>#DIV/0!</v>
      </c>
      <c r="K144" s="1016" t="s">
        <v>532</v>
      </c>
      <c r="L144" s="1017" t="e">
        <f>H144*J144</f>
        <v>#N/A</v>
      </c>
      <c r="M144" s="1016" t="s">
        <v>523</v>
      </c>
      <c r="N144" s="1017" t="e">
        <f t="shared" si="5"/>
        <v>#N/A</v>
      </c>
      <c r="O144" s="1018">
        <f>0.5*(100%-95%)^-2</f>
        <v>199.99999999999966</v>
      </c>
      <c r="P144" s="1030" t="e">
        <f t="shared" si="4"/>
        <v>#N/A</v>
      </c>
      <c r="Q144" s="52"/>
      <c r="R144" s="52"/>
      <c r="S144" s="52"/>
    </row>
    <row r="145" spans="1:19" s="4" customFormat="1" ht="33" customHeight="1" x14ac:dyDescent="0.25">
      <c r="A145" s="1011" t="s">
        <v>533</v>
      </c>
      <c r="B145" s="1012">
        <v>0</v>
      </c>
      <c r="C145" s="1016" t="s">
        <v>534</v>
      </c>
      <c r="D145" s="1024" t="e">
        <f>E29</f>
        <v>#N/A</v>
      </c>
      <c r="E145" s="1016" t="s">
        <v>129</v>
      </c>
      <c r="F145" s="1016" t="s">
        <v>495</v>
      </c>
      <c r="G145" s="1020">
        <f>SQRT(12)</f>
        <v>3.4641016151377544</v>
      </c>
      <c r="H145" s="1016" t="e">
        <f>D145/G145</f>
        <v>#N/A</v>
      </c>
      <c r="I145" s="1016" t="s">
        <v>129</v>
      </c>
      <c r="J145" s="1029" t="e">
        <f>(999.972 * (1 - ((((B139) + -3.983035)^2 * ((B139) + 301.797))/(522528.9 *
    ((B139) + 69.34881))))) * ((0.0000000005074 + (-0.00000000000326) * (B139) +
    0.0000000000000416 * (B139)^2) * 100)/1000</f>
        <v>#DIV/0!</v>
      </c>
      <c r="K145" s="1016" t="s">
        <v>532</v>
      </c>
      <c r="L145" s="1017" t="e">
        <f>H145*J145</f>
        <v>#N/A</v>
      </c>
      <c r="M145" s="1016" t="s">
        <v>523</v>
      </c>
      <c r="N145" s="1017" t="e">
        <f t="shared" si="5"/>
        <v>#N/A</v>
      </c>
      <c r="O145" s="1018">
        <f>0.5*(100%-93%)^-2</f>
        <v>102.04081632653076</v>
      </c>
      <c r="P145" s="1031" t="e">
        <f t="shared" si="4"/>
        <v>#N/A</v>
      </c>
      <c r="Q145" s="52"/>
      <c r="R145" s="52"/>
      <c r="S145" s="52"/>
    </row>
    <row r="146" spans="1:19" s="4" customFormat="1" ht="33" customHeight="1" thickBot="1" x14ac:dyDescent="0.3">
      <c r="A146" s="1032" t="s">
        <v>507</v>
      </c>
      <c r="B146" s="1033">
        <v>0</v>
      </c>
      <c r="C146" s="1034" t="s">
        <v>531</v>
      </c>
      <c r="D146" s="1035">
        <v>0</v>
      </c>
      <c r="E146" s="1034" t="s">
        <v>129</v>
      </c>
      <c r="F146" s="1034" t="s">
        <v>495</v>
      </c>
      <c r="G146" s="1036">
        <f>SQRT(12)</f>
        <v>3.4641016151377544</v>
      </c>
      <c r="H146" s="1036">
        <f>D146/G146</f>
        <v>0</v>
      </c>
      <c r="I146" s="1034" t="s">
        <v>129</v>
      </c>
      <c r="J146" s="1037" t="e">
        <f>(999.972 * (1 - ((((B139) + -3.983035)^2 * ((B139) + 301.797))/(522528.9 *
    ((B139) + 69.34881))))) * ((0.0000000005074 + (-0.00000000000326) * (B139) +
    0.0000000000000416 * (B139)^2) * 100)/1000</f>
        <v>#DIV/0!</v>
      </c>
      <c r="K146" s="1034" t="s">
        <v>532</v>
      </c>
      <c r="L146" s="1038" t="e">
        <f>H146*J146</f>
        <v>#DIV/0!</v>
      </c>
      <c r="M146" s="1034" t="s">
        <v>523</v>
      </c>
      <c r="N146" s="1038" t="e">
        <f t="shared" si="5"/>
        <v>#DIV/0!</v>
      </c>
      <c r="O146" s="1039">
        <f>0.5*(100%-93%)^-2</f>
        <v>102.04081632653076</v>
      </c>
      <c r="P146" s="1040" t="e">
        <f t="shared" si="4"/>
        <v>#DIV/0!</v>
      </c>
      <c r="Q146" s="52"/>
      <c r="R146" s="52"/>
      <c r="S146" s="52"/>
    </row>
    <row r="147" spans="1:19" s="4" customFormat="1" ht="39.950000000000003" customHeight="1" thickBot="1" x14ac:dyDescent="0.3">
      <c r="A147" s="321" t="s">
        <v>520</v>
      </c>
      <c r="B147" s="1041" t="e">
        <f>(((999.972*(1-((((B139)+-3.983035)^2*((B139)+301.797))/(522528.9*((B139)+69.34881)))))*(1+((0.0000000005074+(-0.00000000000326)*(B139)+0.0000000000000416*(B139)^2)*(((B143)*100)-101325))))+(-0.004612+(0.000106*(B139))))/1000</f>
        <v>#DIV/0!</v>
      </c>
      <c r="C147" s="154"/>
      <c r="D147" s="154"/>
      <c r="E147" s="154"/>
      <c r="F147" s="154"/>
      <c r="G147" s="154"/>
      <c r="H147" s="154"/>
      <c r="I147" s="154"/>
      <c r="J147" s="154"/>
      <c r="K147" s="154"/>
      <c r="L147" s="1784" t="s">
        <v>535</v>
      </c>
      <c r="M147" s="1784"/>
      <c r="N147" s="1042" t="e">
        <f>SQRT(N136+N137+N138+N140+N141+N142+N144+N145+N146)</f>
        <v>#DIV/0!</v>
      </c>
      <c r="O147" s="1043" t="s">
        <v>536</v>
      </c>
      <c r="P147" s="155"/>
      <c r="Q147" s="52"/>
      <c r="R147" s="52"/>
      <c r="S147" s="52"/>
    </row>
    <row r="148" spans="1:19" s="4" customFormat="1" ht="39.950000000000003" customHeight="1" thickBot="1" x14ac:dyDescent="0.3">
      <c r="A148" s="156"/>
      <c r="B148" s="157"/>
      <c r="C148" s="158"/>
      <c r="D148" s="158"/>
      <c r="E148" s="158"/>
      <c r="F148" s="158"/>
      <c r="G148" s="158"/>
      <c r="H148" s="158"/>
      <c r="I148" s="158"/>
      <c r="J148" s="158"/>
      <c r="K148" s="158"/>
      <c r="L148" s="1712" t="s">
        <v>537</v>
      </c>
      <c r="M148" s="1712"/>
      <c r="N148" s="1044" t="e">
        <f>N147^4/((L140^4/O140)+(L141^4/O141)+(L142^4/O142)+(L144^4/O144)+(L145^4/O145)+(L146^4/O146)+(L138^4/O138)+(L137^4/O137)+(L136^4/O136))</f>
        <v>#DIV/0!</v>
      </c>
      <c r="O148" s="1045" t="e">
        <f>_xlfn.T.INV.2T(0.05,N148)</f>
        <v>#DIV/0!</v>
      </c>
      <c r="P148" s="155"/>
      <c r="Q148" s="52"/>
      <c r="R148" s="52"/>
      <c r="S148" s="52"/>
    </row>
    <row r="149" spans="1:19" s="4" customFormat="1" ht="39.950000000000003" customHeight="1" thickBot="1" x14ac:dyDescent="0.3">
      <c r="A149" s="156"/>
      <c r="B149" s="157"/>
      <c r="C149" s="158"/>
      <c r="D149" s="158"/>
      <c r="E149" s="158"/>
      <c r="F149" s="158"/>
      <c r="G149" s="158"/>
      <c r="H149" s="158"/>
      <c r="I149" s="158"/>
      <c r="J149" s="158"/>
      <c r="K149" s="158"/>
      <c r="L149" s="1710" t="s">
        <v>538</v>
      </c>
      <c r="M149" s="1711"/>
      <c r="N149" s="1046" t="e">
        <f>N147*O148</f>
        <v>#DIV/0!</v>
      </c>
      <c r="O149" s="1047" t="s">
        <v>536</v>
      </c>
      <c r="P149" s="155"/>
      <c r="Q149" s="52"/>
      <c r="R149" s="52"/>
      <c r="S149" s="52"/>
    </row>
    <row r="150" spans="1:19" s="4" customFormat="1" ht="39.950000000000003" customHeight="1" thickBot="1" x14ac:dyDescent="0.3">
      <c r="A150" s="156"/>
      <c r="B150" s="159"/>
      <c r="C150" s="136"/>
      <c r="D150" s="136"/>
      <c r="E150" s="136"/>
      <c r="F150" s="136"/>
      <c r="G150" s="136"/>
      <c r="H150" s="136"/>
      <c r="I150" s="136"/>
      <c r="J150" s="136"/>
      <c r="K150" s="136"/>
      <c r="L150" s="160"/>
      <c r="M150" s="160"/>
      <c r="N150" s="161"/>
      <c r="O150" s="162"/>
      <c r="P150" s="163"/>
      <c r="Q150" s="52"/>
      <c r="R150" s="52"/>
      <c r="S150" s="52"/>
    </row>
    <row r="151" spans="1:19" s="4" customFormat="1" ht="39.950000000000003" customHeight="1" x14ac:dyDescent="0.25">
      <c r="A151" s="1765" t="s">
        <v>539</v>
      </c>
      <c r="B151" s="1766"/>
      <c r="C151" s="1766"/>
      <c r="D151" s="1766"/>
      <c r="E151" s="1766"/>
      <c r="F151" s="1766"/>
      <c r="G151" s="1766"/>
      <c r="H151" s="1766"/>
      <c r="I151" s="1766"/>
      <c r="J151" s="1766"/>
      <c r="K151" s="1766"/>
      <c r="L151" s="1766"/>
      <c r="M151" s="1766"/>
      <c r="N151" s="1766"/>
      <c r="O151" s="1766"/>
      <c r="P151" s="1766"/>
      <c r="Q151" s="1766"/>
      <c r="R151" s="1767"/>
      <c r="S151" s="52"/>
    </row>
    <row r="152" spans="1:19" s="4" customFormat="1" ht="39.950000000000003" customHeight="1" thickBot="1" x14ac:dyDescent="0.3">
      <c r="A152" s="1768"/>
      <c r="B152" s="1769"/>
      <c r="C152" s="1769"/>
      <c r="D152" s="1769"/>
      <c r="E152" s="1769"/>
      <c r="F152" s="1769"/>
      <c r="G152" s="1769"/>
      <c r="H152" s="1769"/>
      <c r="I152" s="1769"/>
      <c r="J152" s="1769"/>
      <c r="K152" s="1769"/>
      <c r="L152" s="1769"/>
      <c r="M152" s="1769"/>
      <c r="N152" s="1769"/>
      <c r="O152" s="1769"/>
      <c r="P152" s="1769"/>
      <c r="Q152" s="1769"/>
      <c r="R152" s="1770"/>
      <c r="S152" s="52"/>
    </row>
    <row r="153" spans="1:19" s="4" customFormat="1" ht="59.25" customHeight="1" thickBot="1" x14ac:dyDescent="0.25">
      <c r="A153" s="944" t="s">
        <v>471</v>
      </c>
      <c r="B153" s="945" t="s">
        <v>472</v>
      </c>
      <c r="C153" s="946" t="s">
        <v>473</v>
      </c>
      <c r="D153" s="1698" t="s">
        <v>474</v>
      </c>
      <c r="E153" s="1699"/>
      <c r="F153" s="946" t="s">
        <v>475</v>
      </c>
      <c r="G153" s="947" t="s">
        <v>476</v>
      </c>
      <c r="H153" s="1698" t="s">
        <v>477</v>
      </c>
      <c r="I153" s="1699"/>
      <c r="J153" s="1700" t="s">
        <v>540</v>
      </c>
      <c r="K153" s="1700"/>
      <c r="L153" s="1698" t="s">
        <v>541</v>
      </c>
      <c r="M153" s="1699"/>
      <c r="N153" s="947" t="s">
        <v>542</v>
      </c>
      <c r="O153" s="947" t="s">
        <v>543</v>
      </c>
      <c r="P153" s="947" t="s">
        <v>544</v>
      </c>
      <c r="Q153" s="949"/>
      <c r="R153" s="946" t="s">
        <v>545</v>
      </c>
      <c r="S153" s="52"/>
    </row>
    <row r="154" spans="1:19" s="4" customFormat="1" ht="32.1" customHeight="1" x14ac:dyDescent="0.25">
      <c r="A154" s="864" t="s">
        <v>546</v>
      </c>
      <c r="B154" s="1116" t="e">
        <f>B155-B160</f>
        <v>#N/A</v>
      </c>
      <c r="C154" s="164"/>
      <c r="D154" s="164"/>
      <c r="E154" s="164"/>
      <c r="F154" s="164"/>
      <c r="G154" s="164"/>
      <c r="H154" s="164"/>
      <c r="I154" s="164"/>
      <c r="J154" s="164"/>
      <c r="K154" s="164"/>
      <c r="L154" s="164"/>
      <c r="M154" s="164"/>
      <c r="N154" s="164"/>
      <c r="O154" s="164"/>
      <c r="P154" s="164"/>
      <c r="Q154" s="165"/>
      <c r="R154" s="166"/>
      <c r="S154" s="52"/>
    </row>
    <row r="155" spans="1:19" s="4" customFormat="1" ht="32.1" customHeight="1" x14ac:dyDescent="0.25">
      <c r="A155" s="865" t="s">
        <v>547</v>
      </c>
      <c r="B155" s="910" t="e">
        <f>AVERAGE(B86:D86)</f>
        <v>#N/A</v>
      </c>
      <c r="C155" s="167"/>
      <c r="D155" s="125"/>
      <c r="E155" s="125"/>
      <c r="F155" s="125"/>
      <c r="G155" s="125"/>
      <c r="H155" s="125"/>
      <c r="I155" s="125"/>
      <c r="J155" s="125"/>
      <c r="K155" s="125"/>
      <c r="L155" s="125"/>
      <c r="M155" s="125"/>
      <c r="N155" s="168"/>
      <c r="O155" s="125"/>
      <c r="P155" s="125"/>
      <c r="Q155" s="169"/>
      <c r="R155" s="170"/>
      <c r="S155" s="52"/>
    </row>
    <row r="156" spans="1:19" s="4" customFormat="1" ht="32.1" customHeight="1" x14ac:dyDescent="0.25">
      <c r="A156" s="865" t="s">
        <v>548</v>
      </c>
      <c r="B156" s="911">
        <v>0</v>
      </c>
      <c r="C156" s="872" t="s">
        <v>549</v>
      </c>
      <c r="D156" s="881" t="e">
        <f>E13</f>
        <v>#N/A</v>
      </c>
      <c r="E156" s="872" t="s">
        <v>422</v>
      </c>
      <c r="F156" s="872" t="s">
        <v>495</v>
      </c>
      <c r="G156" s="872">
        <f>SQRT(12)</f>
        <v>3.4641016151377544</v>
      </c>
      <c r="H156" s="882" t="e">
        <f>D156/G156</f>
        <v>#N/A</v>
      </c>
      <c r="I156" s="872" t="s">
        <v>422</v>
      </c>
      <c r="J156" s="923" t="e">
        <f>(1 - (B165/B169)) * (1/(B167 - B165)) * (1 - B171 * (B173 - B183))</f>
        <v>#N/A</v>
      </c>
      <c r="K156" s="872" t="s">
        <v>550</v>
      </c>
      <c r="L156" s="924" t="e">
        <f>H156*J156</f>
        <v>#N/A</v>
      </c>
      <c r="M156" s="872" t="s">
        <v>203</v>
      </c>
      <c r="N156" s="877" t="e">
        <f>L156^2</f>
        <v>#N/A</v>
      </c>
      <c r="O156" s="874">
        <f>0.5*(100%-99%)^-2</f>
        <v>4999.9999999999909</v>
      </c>
      <c r="P156" s="925" t="e">
        <f>L156^4</f>
        <v>#N/A</v>
      </c>
      <c r="Q156" s="926" t="e">
        <f>P156/O156</f>
        <v>#N/A</v>
      </c>
      <c r="R156" s="927" t="e">
        <f>(L156/$N$184)^2</f>
        <v>#N/A</v>
      </c>
      <c r="S156" s="52"/>
    </row>
    <row r="157" spans="1:19" s="4" customFormat="1" ht="32.1" customHeight="1" x14ac:dyDescent="0.25">
      <c r="A157" s="865" t="s">
        <v>551</v>
      </c>
      <c r="B157" s="912">
        <v>0</v>
      </c>
      <c r="C157" s="872" t="s">
        <v>552</v>
      </c>
      <c r="D157" s="241" t="e">
        <f>VLOOKUP(B155,C13:I22,7,TRUE)</f>
        <v>#N/A</v>
      </c>
      <c r="E157" s="872" t="s">
        <v>422</v>
      </c>
      <c r="F157" s="872" t="s">
        <v>553</v>
      </c>
      <c r="G157" s="874" t="e">
        <f>O16</f>
        <v>#N/A</v>
      </c>
      <c r="H157" s="882" t="e">
        <f>D157/G157</f>
        <v>#N/A</v>
      </c>
      <c r="I157" s="872" t="s">
        <v>422</v>
      </c>
      <c r="J157" s="923" t="e">
        <f>(1 - (B165/B169)) * (1/(B167 - B165)) * (1 - B171 * (B173 - B183))</f>
        <v>#N/A</v>
      </c>
      <c r="K157" s="872" t="s">
        <v>550</v>
      </c>
      <c r="L157" s="924" t="e">
        <f>H157*J157</f>
        <v>#N/A</v>
      </c>
      <c r="M157" s="872" t="s">
        <v>203</v>
      </c>
      <c r="N157" s="877" t="e">
        <f>L157^2</f>
        <v>#N/A</v>
      </c>
      <c r="O157" s="872">
        <f>0.5*(100%-95%)^-2</f>
        <v>199.99999999999966</v>
      </c>
      <c r="P157" s="925" t="e">
        <f>L157^4</f>
        <v>#N/A</v>
      </c>
      <c r="Q157" s="926" t="e">
        <f>P157/O157</f>
        <v>#N/A</v>
      </c>
      <c r="R157" s="927" t="e">
        <f>(L157/$N$184)^2</f>
        <v>#N/A</v>
      </c>
      <c r="S157" s="52"/>
    </row>
    <row r="158" spans="1:19" s="4" customFormat="1" ht="32.1" customHeight="1" x14ac:dyDescent="0.25">
      <c r="A158" s="865" t="s">
        <v>554</v>
      </c>
      <c r="B158" s="912">
        <v>0</v>
      </c>
      <c r="C158" s="872" t="s">
        <v>555</v>
      </c>
      <c r="D158" s="872" t="e">
        <f>Q18*B155</f>
        <v>#N/A</v>
      </c>
      <c r="E158" s="872" t="s">
        <v>422</v>
      </c>
      <c r="F158" s="872" t="s">
        <v>495</v>
      </c>
      <c r="G158" s="872">
        <f>SQRT(3)</f>
        <v>1.7320508075688772</v>
      </c>
      <c r="H158" s="882" t="e">
        <f>D158/G158</f>
        <v>#N/A</v>
      </c>
      <c r="I158" s="872" t="s">
        <v>422</v>
      </c>
      <c r="J158" s="923" t="e">
        <f>(1 - (B165/B169)) * (1/(B167 - B165)) * (1 - B171 * (B173 - B183))</f>
        <v>#N/A</v>
      </c>
      <c r="K158" s="872" t="s">
        <v>550</v>
      </c>
      <c r="L158" s="924" t="e">
        <f>H158*J158</f>
        <v>#N/A</v>
      </c>
      <c r="M158" s="872" t="s">
        <v>203</v>
      </c>
      <c r="N158" s="928" t="e">
        <f>L158^2</f>
        <v>#N/A</v>
      </c>
      <c r="O158" s="874">
        <f>0.5*(100%-95%)^-2</f>
        <v>199.99999999999966</v>
      </c>
      <c r="P158" s="925" t="e">
        <f>L158^4</f>
        <v>#N/A</v>
      </c>
      <c r="Q158" s="926" t="e">
        <f>P158/O158</f>
        <v>#N/A</v>
      </c>
      <c r="R158" s="927" t="e">
        <f>(L158/$N$184)^2</f>
        <v>#N/A</v>
      </c>
      <c r="S158" s="52"/>
    </row>
    <row r="159" spans="1:19" s="4" customFormat="1" ht="32.1" customHeight="1" x14ac:dyDescent="0.25">
      <c r="A159" s="865" t="s">
        <v>556</v>
      </c>
      <c r="B159" s="912">
        <v>0</v>
      </c>
      <c r="C159" s="872" t="s">
        <v>552</v>
      </c>
      <c r="D159" s="887">
        <v>0</v>
      </c>
      <c r="E159" s="872" t="s">
        <v>422</v>
      </c>
      <c r="F159" s="872" t="s">
        <v>495</v>
      </c>
      <c r="G159" s="872">
        <f>SQRT(12)</f>
        <v>3.4641016151377544</v>
      </c>
      <c r="H159" s="882">
        <f>D159/G159</f>
        <v>0</v>
      </c>
      <c r="I159" s="872" t="s">
        <v>422</v>
      </c>
      <c r="J159" s="923" t="e">
        <f>(1 - (B165/B169)) * (1/(B167 - B165)) * (1 - B171 * (B173 - B183))</f>
        <v>#N/A</v>
      </c>
      <c r="K159" s="872" t="s">
        <v>550</v>
      </c>
      <c r="L159" s="924" t="e">
        <f>H159*J159</f>
        <v>#N/A</v>
      </c>
      <c r="M159" s="872" t="s">
        <v>203</v>
      </c>
      <c r="N159" s="928" t="e">
        <f>L159^2</f>
        <v>#N/A</v>
      </c>
      <c r="O159" s="874">
        <f>0.5*(100%-95%)^-2</f>
        <v>199.99999999999966</v>
      </c>
      <c r="P159" s="925" t="e">
        <f>L159^4</f>
        <v>#N/A</v>
      </c>
      <c r="Q159" s="926" t="e">
        <f>P159/O159</f>
        <v>#N/A</v>
      </c>
      <c r="R159" s="927" t="e">
        <f>(L159/$N$184)^2</f>
        <v>#N/A</v>
      </c>
      <c r="S159" s="52"/>
    </row>
    <row r="160" spans="1:19" s="4" customFormat="1" ht="32.1" customHeight="1" x14ac:dyDescent="0.25">
      <c r="A160" s="865" t="s">
        <v>557</v>
      </c>
      <c r="B160" s="910" t="e">
        <f>AVERAGE(B92:D92)</f>
        <v>#N/A</v>
      </c>
      <c r="C160" s="167"/>
      <c r="D160" s="125"/>
      <c r="E160" s="125"/>
      <c r="F160" s="125"/>
      <c r="G160" s="125"/>
      <c r="H160" s="172"/>
      <c r="I160" s="125"/>
      <c r="J160" s="125"/>
      <c r="K160" s="125"/>
      <c r="L160" s="173"/>
      <c r="M160" s="125"/>
      <c r="N160" s="168"/>
      <c r="O160" s="125"/>
      <c r="P160" s="125"/>
      <c r="Q160" s="169"/>
      <c r="R160" s="170"/>
      <c r="S160" s="52"/>
    </row>
    <row r="161" spans="1:27" s="4" customFormat="1" ht="32.1" customHeight="1" x14ac:dyDescent="0.25">
      <c r="A161" s="865" t="s">
        <v>558</v>
      </c>
      <c r="B161" s="912">
        <v>0</v>
      </c>
      <c r="C161" s="872" t="s">
        <v>549</v>
      </c>
      <c r="D161" s="881" t="e">
        <f>E13</f>
        <v>#N/A</v>
      </c>
      <c r="E161" s="872" t="s">
        <v>422</v>
      </c>
      <c r="F161" s="872" t="s">
        <v>495</v>
      </c>
      <c r="G161" s="872">
        <f>SQRT(12)</f>
        <v>3.4641016151377544</v>
      </c>
      <c r="H161" s="882" t="e">
        <f>D161/G161</f>
        <v>#N/A</v>
      </c>
      <c r="I161" s="872" t="s">
        <v>422</v>
      </c>
      <c r="J161" s="923" t="e">
        <f>-((1 - (B165/B169)) * (1/(B167 - B165)) * (1 - B171 * (B173 -
    B183)))</f>
        <v>#N/A</v>
      </c>
      <c r="K161" s="872" t="s">
        <v>550</v>
      </c>
      <c r="L161" s="924" t="e">
        <f>H161*J161</f>
        <v>#N/A</v>
      </c>
      <c r="M161" s="872" t="s">
        <v>203</v>
      </c>
      <c r="N161" s="928" t="e">
        <f>L161^2</f>
        <v>#N/A</v>
      </c>
      <c r="O161" s="874">
        <f>0.5*(100%-99%)^-2</f>
        <v>4999.9999999999909</v>
      </c>
      <c r="P161" s="925" t="e">
        <f>L161^4</f>
        <v>#N/A</v>
      </c>
      <c r="Q161" s="926" t="e">
        <f>P161/O161</f>
        <v>#N/A</v>
      </c>
      <c r="R161" s="927" t="e">
        <f>(L161/$N$184)^2</f>
        <v>#N/A</v>
      </c>
      <c r="S161" s="52"/>
      <c r="T161" s="1201"/>
      <c r="U161" s="1201"/>
      <c r="V161" s="1201"/>
      <c r="W161" s="1201"/>
      <c r="X161" s="1201"/>
      <c r="Y161" s="1201"/>
      <c r="Z161" s="1201"/>
      <c r="AA161" s="1201"/>
    </row>
    <row r="162" spans="1:27" s="4" customFormat="1" ht="32.1" customHeight="1" x14ac:dyDescent="0.25">
      <c r="A162" s="865" t="s">
        <v>551</v>
      </c>
      <c r="B162" s="912">
        <v>0</v>
      </c>
      <c r="C162" s="872" t="s">
        <v>552</v>
      </c>
      <c r="D162" s="171" t="e">
        <f>VLOOKUP(B160,C13:I22,7,TRUE)</f>
        <v>#N/A</v>
      </c>
      <c r="E162" s="872" t="s">
        <v>422</v>
      </c>
      <c r="F162" s="872" t="s">
        <v>553</v>
      </c>
      <c r="G162" s="874" t="e">
        <f>O14</f>
        <v>#N/A</v>
      </c>
      <c r="H162" s="882" t="e">
        <f>D162/G162</f>
        <v>#N/A</v>
      </c>
      <c r="I162" s="872" t="s">
        <v>422</v>
      </c>
      <c r="J162" s="923" t="e">
        <f>-((1 - (B165/B169)) * (1/(B167 - B165)) * (1 - B171 * (B173 -
    B183)))</f>
        <v>#N/A</v>
      </c>
      <c r="K162" s="872" t="s">
        <v>550</v>
      </c>
      <c r="L162" s="924" t="e">
        <f>H162*J162</f>
        <v>#N/A</v>
      </c>
      <c r="M162" s="872" t="s">
        <v>203</v>
      </c>
      <c r="N162" s="928" t="e">
        <f>L162^2</f>
        <v>#N/A</v>
      </c>
      <c r="O162" s="872">
        <f>0.5*(100%-95%)^-2</f>
        <v>199.99999999999966</v>
      </c>
      <c r="P162" s="925" t="e">
        <f>L162^4</f>
        <v>#N/A</v>
      </c>
      <c r="Q162" s="926" t="e">
        <f>P162/O162</f>
        <v>#N/A</v>
      </c>
      <c r="R162" s="927" t="e">
        <f>(L162/$N$184)^2</f>
        <v>#N/A</v>
      </c>
      <c r="S162" s="52"/>
      <c r="T162" s="1201"/>
      <c r="U162" s="1201"/>
      <c r="V162" s="1201"/>
      <c r="W162" s="1201"/>
      <c r="X162" s="1201"/>
      <c r="Y162" s="1201"/>
      <c r="Z162" s="1201"/>
      <c r="AA162" s="1201"/>
    </row>
    <row r="163" spans="1:27" s="4" customFormat="1" ht="32.1" customHeight="1" x14ac:dyDescent="0.25">
      <c r="A163" s="865" t="s">
        <v>554</v>
      </c>
      <c r="B163" s="912">
        <v>0</v>
      </c>
      <c r="C163" s="872" t="s">
        <v>555</v>
      </c>
      <c r="D163" s="872" t="e">
        <f>Q18*B160</f>
        <v>#N/A</v>
      </c>
      <c r="E163" s="872" t="s">
        <v>422</v>
      </c>
      <c r="F163" s="872" t="s">
        <v>495</v>
      </c>
      <c r="G163" s="872">
        <f>SQRT(3)</f>
        <v>1.7320508075688772</v>
      </c>
      <c r="H163" s="882" t="e">
        <f>D163/G163</f>
        <v>#N/A</v>
      </c>
      <c r="I163" s="872" t="s">
        <v>422</v>
      </c>
      <c r="J163" s="923" t="e">
        <f>-((1 - (B165/B169)) * (1/(B167 - B165)) * (1 - B171 * (B173 -
    B183)))</f>
        <v>#N/A</v>
      </c>
      <c r="K163" s="872" t="s">
        <v>550</v>
      </c>
      <c r="L163" s="924" t="e">
        <f>H163*J163</f>
        <v>#N/A</v>
      </c>
      <c r="M163" s="872" t="s">
        <v>203</v>
      </c>
      <c r="N163" s="928" t="e">
        <f>L163^2</f>
        <v>#N/A</v>
      </c>
      <c r="O163" s="874">
        <f>0.5*(100%-95%)^-2</f>
        <v>199.99999999999966</v>
      </c>
      <c r="P163" s="925" t="e">
        <f>L163^4</f>
        <v>#N/A</v>
      </c>
      <c r="Q163" s="926" t="e">
        <f>P163/O163</f>
        <v>#N/A</v>
      </c>
      <c r="R163" s="927" t="e">
        <f>(L163/$N$184)^2</f>
        <v>#N/A</v>
      </c>
      <c r="S163" s="52"/>
      <c r="T163" s="1201"/>
      <c r="U163" s="1201"/>
      <c r="V163" s="1201"/>
      <c r="W163" s="1201"/>
      <c r="X163" s="1201"/>
      <c r="Y163" s="1201"/>
      <c r="Z163" s="1201"/>
      <c r="AA163" s="1201"/>
    </row>
    <row r="164" spans="1:27" s="52" customFormat="1" ht="32.1" customHeight="1" x14ac:dyDescent="0.25">
      <c r="A164" s="865" t="s">
        <v>559</v>
      </c>
      <c r="B164" s="912">
        <v>0</v>
      </c>
      <c r="C164" s="872" t="s">
        <v>560</v>
      </c>
      <c r="D164" s="887">
        <v>0.24</v>
      </c>
      <c r="E164" s="872" t="s">
        <v>203</v>
      </c>
      <c r="F164" s="872" t="s">
        <v>553</v>
      </c>
      <c r="G164" s="872">
        <v>1</v>
      </c>
      <c r="H164" s="882">
        <f>D164/G164</f>
        <v>0.24</v>
      </c>
      <c r="I164" s="872" t="s">
        <v>203</v>
      </c>
      <c r="J164" s="874">
        <v>1</v>
      </c>
      <c r="K164" s="872" t="s">
        <v>203</v>
      </c>
      <c r="L164" s="924">
        <f>H164*J164</f>
        <v>0.24</v>
      </c>
      <c r="M164" s="872" t="s">
        <v>203</v>
      </c>
      <c r="N164" s="928">
        <f>L164^2</f>
        <v>5.7599999999999998E-2</v>
      </c>
      <c r="O164" s="874">
        <f>0.5*(100%-95%)^-2</f>
        <v>199.99999999999966</v>
      </c>
      <c r="P164" s="925">
        <f>L164^4</f>
        <v>3.3177599999999999E-3</v>
      </c>
      <c r="Q164" s="926">
        <f>P164/O164</f>
        <v>1.6588800000000027E-5</v>
      </c>
      <c r="R164" s="927" t="e">
        <f>(L164/$N$184)^2</f>
        <v>#N/A</v>
      </c>
    </row>
    <row r="165" spans="1:27" s="4" customFormat="1" ht="32.1" customHeight="1" x14ac:dyDescent="0.25">
      <c r="A165" s="865" t="s">
        <v>561</v>
      </c>
      <c r="B165" s="913" t="e">
        <f>AVERAGE(B73:D73)</f>
        <v>#N/A</v>
      </c>
      <c r="C165" s="125"/>
      <c r="D165" s="125"/>
      <c r="E165" s="125"/>
      <c r="F165" s="125"/>
      <c r="G165" s="125"/>
      <c r="H165" s="172"/>
      <c r="I165" s="125"/>
      <c r="J165" s="125"/>
      <c r="K165" s="125"/>
      <c r="L165" s="173"/>
      <c r="M165" s="125"/>
      <c r="N165" s="168"/>
      <c r="O165" s="125"/>
      <c r="P165" s="125"/>
      <c r="Q165" s="169"/>
      <c r="R165" s="170"/>
      <c r="S165" s="52"/>
      <c r="T165" s="1201"/>
      <c r="U165" s="1201"/>
      <c r="V165" s="1201"/>
      <c r="W165" s="1201"/>
      <c r="X165" s="1201"/>
      <c r="Y165" s="1201"/>
      <c r="Z165" s="1201"/>
      <c r="AA165" s="1201"/>
    </row>
    <row r="166" spans="1:27" s="4" customFormat="1" ht="32.1" customHeight="1" x14ac:dyDescent="0.25">
      <c r="A166" s="865" t="s">
        <v>562</v>
      </c>
      <c r="B166" s="912">
        <v>0</v>
      </c>
      <c r="C166" s="872" t="s">
        <v>563</v>
      </c>
      <c r="D166" s="877" t="e">
        <f>N128</f>
        <v>#N/A</v>
      </c>
      <c r="E166" s="872" t="s">
        <v>419</v>
      </c>
      <c r="F166" s="872" t="s">
        <v>553</v>
      </c>
      <c r="G166" s="872">
        <v>1</v>
      </c>
      <c r="H166" s="873" t="e">
        <f>D166/G166</f>
        <v>#N/A</v>
      </c>
      <c r="I166" s="872" t="s">
        <v>419</v>
      </c>
      <c r="J166" s="924" t="e">
        <f>((B155 - B160) * (1 - (B165/B169)) * (1/(B167 - B165)^2) - (B155 -
    B160) * (1/B169) * (1/(B167 - B165))) * (1 - B171 * (B173 -
    B183))</f>
        <v>#N/A</v>
      </c>
      <c r="K166" s="872" t="s">
        <v>564</v>
      </c>
      <c r="L166" s="924" t="e">
        <f>H166*J166</f>
        <v>#N/A</v>
      </c>
      <c r="M166" s="872" t="s">
        <v>203</v>
      </c>
      <c r="N166" s="928" t="e">
        <f>L166^2</f>
        <v>#N/A</v>
      </c>
      <c r="O166" s="874">
        <f>0.5*(100%-95%)^-2</f>
        <v>199.99999999999966</v>
      </c>
      <c r="P166" s="925" t="e">
        <f>L166^4</f>
        <v>#N/A</v>
      </c>
      <c r="Q166" s="926" t="e">
        <f>P166/O166</f>
        <v>#N/A</v>
      </c>
      <c r="R166" s="927" t="e">
        <f>(L166/$N$184)^2</f>
        <v>#N/A</v>
      </c>
      <c r="S166" s="52"/>
      <c r="T166" s="1201"/>
      <c r="U166" s="1201"/>
      <c r="V166" s="1201"/>
      <c r="W166" s="1201"/>
      <c r="X166" s="1201"/>
      <c r="Y166" s="1201"/>
      <c r="Z166" s="1201"/>
      <c r="AA166" s="1201"/>
    </row>
    <row r="167" spans="1:27" s="4" customFormat="1" ht="32.1" customHeight="1" x14ac:dyDescent="0.25">
      <c r="A167" s="865" t="s">
        <v>565</v>
      </c>
      <c r="B167" s="914" t="e">
        <f>AVERAGE(B77:D77)</f>
        <v>#VALUE!</v>
      </c>
      <c r="C167" s="125"/>
      <c r="D167" s="125"/>
      <c r="E167" s="125"/>
      <c r="F167" s="125"/>
      <c r="G167" s="125"/>
      <c r="H167" s="172"/>
      <c r="I167" s="125"/>
      <c r="J167" s="125"/>
      <c r="K167" s="125"/>
      <c r="L167" s="173"/>
      <c r="M167" s="125"/>
      <c r="N167" s="168"/>
      <c r="O167" s="125"/>
      <c r="P167" s="125"/>
      <c r="Q167" s="169"/>
      <c r="R167" s="170"/>
      <c r="S167" s="52"/>
      <c r="T167" s="1201"/>
      <c r="U167" s="1201"/>
      <c r="V167" s="1201"/>
      <c r="W167" s="1201"/>
      <c r="X167" s="1201"/>
      <c r="Y167" s="1201"/>
      <c r="Z167" s="1201"/>
      <c r="AA167" s="1201"/>
    </row>
    <row r="168" spans="1:27" s="4" customFormat="1" ht="32.1" customHeight="1" x14ac:dyDescent="0.25">
      <c r="A168" s="865" t="s">
        <v>566</v>
      </c>
      <c r="B168" s="911">
        <v>0</v>
      </c>
      <c r="C168" s="872" t="s">
        <v>526</v>
      </c>
      <c r="D168" s="877" t="e">
        <f>N147</f>
        <v>#DIV/0!</v>
      </c>
      <c r="E168" s="872" t="s">
        <v>419</v>
      </c>
      <c r="F168" s="872" t="s">
        <v>553</v>
      </c>
      <c r="G168" s="872">
        <v>1</v>
      </c>
      <c r="H168" s="876" t="e">
        <f>D168/G168</f>
        <v>#DIV/0!</v>
      </c>
      <c r="I168" s="872" t="s">
        <v>419</v>
      </c>
      <c r="J168" s="924" t="e">
        <f>-((B155 - B160) * (1 - (B165/B169)) * (1/(B167 - B165)^2) * (1 -
    B171 * (B173 - B183)))</f>
        <v>#N/A</v>
      </c>
      <c r="K168" s="872" t="s">
        <v>564</v>
      </c>
      <c r="L168" s="924" t="e">
        <f>H168*J168</f>
        <v>#DIV/0!</v>
      </c>
      <c r="M168" s="872" t="s">
        <v>203</v>
      </c>
      <c r="N168" s="928" t="e">
        <f>L168^2</f>
        <v>#DIV/0!</v>
      </c>
      <c r="O168" s="874">
        <f>0.5*(100%-95%)^-2</f>
        <v>199.99999999999966</v>
      </c>
      <c r="P168" s="925" t="e">
        <f>L168^4</f>
        <v>#DIV/0!</v>
      </c>
      <c r="Q168" s="926" t="e">
        <f>P168/O168</f>
        <v>#DIV/0!</v>
      </c>
      <c r="R168" s="927" t="e">
        <f>(L168/$N$184)^2</f>
        <v>#DIV/0!</v>
      </c>
      <c r="S168" s="52"/>
      <c r="T168" s="1201"/>
      <c r="U168" s="1201"/>
      <c r="V168" s="1201"/>
      <c r="W168" s="1201"/>
      <c r="X168" s="1201"/>
      <c r="Y168" s="1201"/>
      <c r="Z168" s="1201"/>
      <c r="AA168" s="1201"/>
    </row>
    <row r="169" spans="1:27" s="3" customFormat="1" ht="32.1" customHeight="1" x14ac:dyDescent="0.25">
      <c r="A169" s="865" t="s">
        <v>567</v>
      </c>
      <c r="B169" s="915" t="e">
        <f>C7</f>
        <v>#N/A</v>
      </c>
      <c r="C169" s="125"/>
      <c r="D169" s="125"/>
      <c r="E169" s="125"/>
      <c r="F169" s="125"/>
      <c r="G169" s="125"/>
      <c r="H169" s="172"/>
      <c r="I169" s="125"/>
      <c r="J169" s="125"/>
      <c r="K169" s="125"/>
      <c r="L169" s="173"/>
      <c r="M169" s="125"/>
      <c r="N169" s="168"/>
      <c r="O169" s="125"/>
      <c r="P169" s="125"/>
      <c r="Q169" s="169"/>
      <c r="R169" s="170"/>
      <c r="S169" s="53"/>
      <c r="T169" s="1182"/>
      <c r="U169" s="1182"/>
      <c r="V169" s="43"/>
      <c r="W169" s="43"/>
      <c r="X169" s="1182"/>
      <c r="Y169" s="1182"/>
      <c r="Z169" s="1182"/>
      <c r="AA169" s="1182"/>
    </row>
    <row r="170" spans="1:27" s="3" customFormat="1" ht="32.1" customHeight="1" x14ac:dyDescent="0.25">
      <c r="A170" s="865" t="s">
        <v>568</v>
      </c>
      <c r="B170" s="912">
        <v>0</v>
      </c>
      <c r="C170" s="872" t="s">
        <v>569</v>
      </c>
      <c r="D170" s="887">
        <v>0.14000000000000001</v>
      </c>
      <c r="E170" s="872" t="s">
        <v>419</v>
      </c>
      <c r="F170" s="872" t="s">
        <v>553</v>
      </c>
      <c r="G170" s="872" t="e">
        <f>O7</f>
        <v>#N/A</v>
      </c>
      <c r="H170" s="887" t="e">
        <f>D170/G170</f>
        <v>#N/A</v>
      </c>
      <c r="I170" s="872" t="s">
        <v>419</v>
      </c>
      <c r="J170" s="929" t="e">
        <f>(B155 - B160) * (B165/B169^2) * (1/(B167 - B165)) * (1 - B171 *
    (B173 - B183))</f>
        <v>#N/A</v>
      </c>
      <c r="K170" s="872" t="s">
        <v>564</v>
      </c>
      <c r="L170" s="924" t="e">
        <f>H170*J170</f>
        <v>#N/A</v>
      </c>
      <c r="M170" s="872" t="s">
        <v>203</v>
      </c>
      <c r="N170" s="928" t="e">
        <f>L170^2</f>
        <v>#N/A</v>
      </c>
      <c r="O170" s="874">
        <f>0.5*(100%-95%)^-2</f>
        <v>199.99999999999966</v>
      </c>
      <c r="P170" s="925" t="e">
        <f>L170^4</f>
        <v>#N/A</v>
      </c>
      <c r="Q170" s="926" t="e">
        <f>P170/O170</f>
        <v>#N/A</v>
      </c>
      <c r="R170" s="927" t="e">
        <f>(L170/$N$184)^2</f>
        <v>#N/A</v>
      </c>
      <c r="S170" s="53"/>
      <c r="T170" s="1182"/>
      <c r="U170" s="1182"/>
      <c r="V170" s="1182"/>
      <c r="W170" s="1182"/>
      <c r="X170" s="1182"/>
      <c r="Y170" s="1182"/>
      <c r="Z170" s="1182"/>
      <c r="AA170" s="1182"/>
    </row>
    <row r="171" spans="1:27" s="3" customFormat="1" ht="32.1" customHeight="1" x14ac:dyDescent="0.25">
      <c r="A171" s="865" t="s">
        <v>570</v>
      </c>
      <c r="B171" s="916" t="e">
        <f>C48</f>
        <v>#N/A</v>
      </c>
      <c r="C171" s="167"/>
      <c r="D171" s="125"/>
      <c r="E171" s="125"/>
      <c r="F171" s="125"/>
      <c r="G171" s="125"/>
      <c r="H171" s="172"/>
      <c r="I171" s="125"/>
      <c r="J171" s="125"/>
      <c r="K171" s="125"/>
      <c r="L171" s="173"/>
      <c r="M171" s="125"/>
      <c r="N171" s="168"/>
      <c r="O171" s="125"/>
      <c r="P171" s="125"/>
      <c r="Q171" s="169"/>
      <c r="R171" s="170"/>
      <c r="S171" s="53"/>
      <c r="T171" s="1182"/>
      <c r="U171" s="1182"/>
      <c r="V171" s="1182"/>
      <c r="W171" s="1182"/>
      <c r="X171" s="1182"/>
      <c r="Y171" s="1182"/>
      <c r="Z171" s="1182"/>
      <c r="AA171" s="1182"/>
    </row>
    <row r="172" spans="1:27" s="3" customFormat="1" ht="32.1" customHeight="1" x14ac:dyDescent="0.25">
      <c r="A172" s="865" t="s">
        <v>571</v>
      </c>
      <c r="B172" s="912">
        <v>0</v>
      </c>
      <c r="C172" s="872" t="s">
        <v>24</v>
      </c>
      <c r="D172" s="873" t="e">
        <f>B171*5%</f>
        <v>#N/A</v>
      </c>
      <c r="E172" s="872" t="s">
        <v>205</v>
      </c>
      <c r="F172" s="872" t="s">
        <v>495</v>
      </c>
      <c r="G172" s="872">
        <f>SQRT(3)</f>
        <v>1.7320508075688772</v>
      </c>
      <c r="H172" s="923" t="e">
        <f>D172/G172</f>
        <v>#N/A</v>
      </c>
      <c r="I172" s="872" t="s">
        <v>205</v>
      </c>
      <c r="J172" s="882" t="e">
        <f>-((B155 - B160) * (1 - (B165/B169)) * (1/(B167 - B165)) * (B173 -
    B183))</f>
        <v>#N/A</v>
      </c>
      <c r="K172" s="872" t="s">
        <v>572</v>
      </c>
      <c r="L172" s="924" t="e">
        <f>H172*J172</f>
        <v>#N/A</v>
      </c>
      <c r="M172" s="872" t="s">
        <v>203</v>
      </c>
      <c r="N172" s="928" t="e">
        <f>L172^2</f>
        <v>#N/A</v>
      </c>
      <c r="O172" s="874">
        <f>0.5*(100%-95%)^-2</f>
        <v>199.99999999999966</v>
      </c>
      <c r="P172" s="925" t="e">
        <f>L172^4</f>
        <v>#N/A</v>
      </c>
      <c r="Q172" s="926" t="e">
        <f>P172/O172</f>
        <v>#N/A</v>
      </c>
      <c r="R172" s="927" t="e">
        <f>(L172/$N$184)^2</f>
        <v>#N/A</v>
      </c>
      <c r="S172" s="53"/>
      <c r="T172" s="1182"/>
      <c r="U172" s="1182"/>
      <c r="V172" s="1182"/>
      <c r="W172" s="1182"/>
      <c r="X172" s="1182"/>
      <c r="Y172" s="1182"/>
      <c r="Z172" s="1182"/>
      <c r="AA172" s="1182"/>
    </row>
    <row r="173" spans="1:27" s="4" customFormat="1" ht="32.1" customHeight="1" x14ac:dyDescent="0.25">
      <c r="A173" s="865" t="s">
        <v>573</v>
      </c>
      <c r="B173" s="917" t="e">
        <f>AVERAGE(B88:D88)</f>
        <v>#DIV/0!</v>
      </c>
      <c r="C173" s="125"/>
      <c r="D173" s="129"/>
      <c r="E173" s="129"/>
      <c r="F173" s="125"/>
      <c r="G173" s="125"/>
      <c r="H173" s="172"/>
      <c r="I173" s="129"/>
      <c r="J173" s="125"/>
      <c r="K173" s="125"/>
      <c r="L173" s="173"/>
      <c r="M173" s="125"/>
      <c r="N173" s="168"/>
      <c r="O173" s="125"/>
      <c r="P173" s="125"/>
      <c r="Q173" s="169"/>
      <c r="R173" s="170"/>
      <c r="S173" s="53"/>
      <c r="T173" s="1182"/>
      <c r="U173" s="1182"/>
      <c r="V173" s="44"/>
      <c r="W173" s="44"/>
      <c r="X173" s="44"/>
      <c r="Y173" s="44"/>
      <c r="Z173" s="44"/>
      <c r="AA173" s="44"/>
    </row>
    <row r="174" spans="1:27" s="3" customFormat="1" ht="32.1" customHeight="1" x14ac:dyDescent="0.25">
      <c r="A174" s="865" t="s">
        <v>574</v>
      </c>
      <c r="B174" s="911">
        <v>0</v>
      </c>
      <c r="C174" s="872" t="s">
        <v>490</v>
      </c>
      <c r="D174" s="887" t="str">
        <f>E8</f>
        <v>N/A</v>
      </c>
      <c r="E174" s="872" t="s">
        <v>35</v>
      </c>
      <c r="F174" s="872" t="s">
        <v>495</v>
      </c>
      <c r="G174" s="872">
        <f>SQRT(12)</f>
        <v>3.4641016151377544</v>
      </c>
      <c r="H174" s="873" t="e">
        <f t="shared" ref="H174:H182" si="6">D174/G174</f>
        <v>#VALUE!</v>
      </c>
      <c r="I174" s="872" t="s">
        <v>35</v>
      </c>
      <c r="J174" s="872" t="e">
        <f>-((B155 - B160) * (1 - (B165/B169)) * (1/(B167 - B165)) * B171)</f>
        <v>#N/A</v>
      </c>
      <c r="K174" s="872" t="s">
        <v>575</v>
      </c>
      <c r="L174" s="924" t="e">
        <f>J174*H174</f>
        <v>#N/A</v>
      </c>
      <c r="M174" s="872" t="s">
        <v>203</v>
      </c>
      <c r="N174" s="877" t="e">
        <f t="shared" ref="N174:N182" si="7">L174^2</f>
        <v>#N/A</v>
      </c>
      <c r="O174" s="874">
        <f>0.5*(100%-99%)^-2</f>
        <v>4999.9999999999909</v>
      </c>
      <c r="P174" s="877" t="e">
        <f t="shared" ref="P174:P182" si="8">L174^4</f>
        <v>#N/A</v>
      </c>
      <c r="Q174" s="926" t="e">
        <f t="shared" ref="Q174:Q182" si="9">P174/O174</f>
        <v>#N/A</v>
      </c>
      <c r="R174" s="927" t="e">
        <f t="shared" ref="R174:R182" si="10">(L174/$N$184)^2</f>
        <v>#N/A</v>
      </c>
      <c r="S174" s="53"/>
      <c r="T174" s="1182"/>
      <c r="U174" s="1182"/>
      <c r="V174" s="1684"/>
      <c r="W174" s="1684"/>
      <c r="X174" s="1684"/>
      <c r="Y174" s="1182"/>
      <c r="Z174" s="1182"/>
      <c r="AA174" s="1182"/>
    </row>
    <row r="175" spans="1:27" s="3" customFormat="1" ht="32.1" customHeight="1" x14ac:dyDescent="0.25">
      <c r="A175" s="865" t="s">
        <v>576</v>
      </c>
      <c r="B175" s="911">
        <v>0</v>
      </c>
      <c r="C175" s="872" t="s">
        <v>577</v>
      </c>
      <c r="D175" s="930" t="str">
        <f>I12</f>
        <v>N/A</v>
      </c>
      <c r="E175" s="872" t="s">
        <v>35</v>
      </c>
      <c r="F175" s="872" t="s">
        <v>578</v>
      </c>
      <c r="G175" s="874" t="str">
        <f>O8</f>
        <v>N/A</v>
      </c>
      <c r="H175" s="873" t="e">
        <f t="shared" si="6"/>
        <v>#VALUE!</v>
      </c>
      <c r="I175" s="872" t="s">
        <v>35</v>
      </c>
      <c r="J175" s="872" t="e">
        <f>-((B155 - B160) * (1 - (B165/B169)) * (1/(B167 - B165)) * B171)</f>
        <v>#N/A</v>
      </c>
      <c r="K175" s="872" t="s">
        <v>575</v>
      </c>
      <c r="L175" s="924" t="e">
        <f>J175*H175</f>
        <v>#N/A</v>
      </c>
      <c r="M175" s="872" t="s">
        <v>203</v>
      </c>
      <c r="N175" s="877" t="e">
        <f t="shared" si="7"/>
        <v>#N/A</v>
      </c>
      <c r="O175" s="874">
        <f>0.5*(100%-95%)^-2</f>
        <v>199.99999999999966</v>
      </c>
      <c r="P175" s="877" t="e">
        <f t="shared" si="8"/>
        <v>#N/A</v>
      </c>
      <c r="Q175" s="926" t="e">
        <f>P175/O175</f>
        <v>#N/A</v>
      </c>
      <c r="R175" s="927" t="e">
        <f t="shared" si="10"/>
        <v>#N/A</v>
      </c>
      <c r="S175" s="53"/>
      <c r="T175" s="1182"/>
      <c r="U175" s="1182"/>
      <c r="V175" s="1679"/>
      <c r="W175" s="1679"/>
      <c r="X175" s="1679"/>
      <c r="Y175" s="1182"/>
      <c r="Z175" s="1182"/>
      <c r="AA175" s="1182"/>
    </row>
    <row r="176" spans="1:27" ht="32.1" customHeight="1" x14ac:dyDescent="0.2">
      <c r="A176" s="865" t="s">
        <v>579</v>
      </c>
      <c r="B176" s="911">
        <v>0</v>
      </c>
      <c r="C176" s="872" t="s">
        <v>580</v>
      </c>
      <c r="D176" s="931" t="e">
        <f>VLOOKUP(B173,C8:K12,9,TRUE)</f>
        <v>#DIV/0!</v>
      </c>
      <c r="E176" s="872" t="s">
        <v>35</v>
      </c>
      <c r="F176" s="872" t="s">
        <v>581</v>
      </c>
      <c r="G176" s="872">
        <f>SQRT(12)</f>
        <v>3.4641016151377544</v>
      </c>
      <c r="H176" s="873" t="e">
        <f t="shared" si="6"/>
        <v>#DIV/0!</v>
      </c>
      <c r="I176" s="872" t="s">
        <v>35</v>
      </c>
      <c r="J176" s="872" t="e">
        <f>-((B155 - B160) * (1 - (B165/B169)) * (1/(B167 - B165)) * B171)</f>
        <v>#N/A</v>
      </c>
      <c r="K176" s="872" t="s">
        <v>575</v>
      </c>
      <c r="L176" s="924" t="e">
        <f>J176*H176</f>
        <v>#N/A</v>
      </c>
      <c r="M176" s="872" t="s">
        <v>203</v>
      </c>
      <c r="N176" s="877" t="e">
        <f>L176^2</f>
        <v>#N/A</v>
      </c>
      <c r="O176" s="874">
        <f>0.5*(100%-95%)^-2</f>
        <v>199.99999999999966</v>
      </c>
      <c r="P176" s="877" t="e">
        <f>L176^4</f>
        <v>#N/A</v>
      </c>
      <c r="Q176" s="926" t="e">
        <f t="shared" si="9"/>
        <v>#N/A</v>
      </c>
      <c r="R176" s="927" t="e">
        <f t="shared" si="10"/>
        <v>#N/A</v>
      </c>
      <c r="S176" s="51"/>
      <c r="T176" s="1202"/>
      <c r="U176" s="1202"/>
      <c r="V176" s="1202"/>
      <c r="W176" s="1202"/>
      <c r="X176" s="1202"/>
      <c r="Y176" s="1202"/>
      <c r="Z176" s="1202"/>
      <c r="AA176" s="1202"/>
    </row>
    <row r="177" spans="1:19" ht="32.1" customHeight="1" x14ac:dyDescent="0.2">
      <c r="A177" s="865" t="s">
        <v>582</v>
      </c>
      <c r="B177" s="911">
        <v>0</v>
      </c>
      <c r="C177" s="872" t="s">
        <v>583</v>
      </c>
      <c r="D177" s="924">
        <f>MAX(B88:D88)- MIN(B88:D88)</f>
        <v>0</v>
      </c>
      <c r="E177" s="872" t="s">
        <v>35</v>
      </c>
      <c r="F177" s="872" t="s">
        <v>495</v>
      </c>
      <c r="G177" s="872">
        <f>SQRT(12)</f>
        <v>3.4641016151377544</v>
      </c>
      <c r="H177" s="873">
        <f t="shared" si="6"/>
        <v>0</v>
      </c>
      <c r="I177" s="872" t="s">
        <v>35</v>
      </c>
      <c r="J177" s="872" t="e">
        <f>-((B155 - B160) * (1 - (B165/B169)) * (1/(B167 - B165)) * B171)</f>
        <v>#N/A</v>
      </c>
      <c r="K177" s="872" t="s">
        <v>575</v>
      </c>
      <c r="L177" s="924" t="e">
        <f>J177*H177</f>
        <v>#N/A</v>
      </c>
      <c r="M177" s="872" t="s">
        <v>203</v>
      </c>
      <c r="N177" s="877" t="e">
        <f>L177^2</f>
        <v>#N/A</v>
      </c>
      <c r="O177" s="874">
        <f>0.5*(100%-95%)^-2</f>
        <v>199.99999999999966</v>
      </c>
      <c r="P177" s="877" t="e">
        <f>L177^4</f>
        <v>#N/A</v>
      </c>
      <c r="Q177" s="926" t="e">
        <f t="shared" si="9"/>
        <v>#N/A</v>
      </c>
      <c r="R177" s="927" t="e">
        <f t="shared" si="10"/>
        <v>#N/A</v>
      </c>
      <c r="S177" s="51"/>
    </row>
    <row r="178" spans="1:19" ht="32.1" customHeight="1" x14ac:dyDescent="0.2">
      <c r="A178" s="865" t="s">
        <v>584</v>
      </c>
      <c r="B178" s="912">
        <v>0</v>
      </c>
      <c r="C178" s="872" t="s">
        <v>585</v>
      </c>
      <c r="D178" s="881" t="e">
        <f>MAX(B67:D67)-MAX(B88:D88)</f>
        <v>#N/A</v>
      </c>
      <c r="E178" s="872" t="s">
        <v>35</v>
      </c>
      <c r="F178" s="872" t="s">
        <v>495</v>
      </c>
      <c r="G178" s="872">
        <f>SQRT(12)</f>
        <v>3.4641016151377544</v>
      </c>
      <c r="H178" s="873" t="e">
        <f t="shared" si="6"/>
        <v>#N/A</v>
      </c>
      <c r="I178" s="872" t="s">
        <v>35</v>
      </c>
      <c r="J178" s="872" t="e">
        <f>-((B155 - B160) * (1 - (B165/B169)) * (1/(B167 - B165)) * B171)</f>
        <v>#N/A</v>
      </c>
      <c r="K178" s="872" t="s">
        <v>575</v>
      </c>
      <c r="L178" s="924" t="e">
        <f>H178*J178</f>
        <v>#N/A</v>
      </c>
      <c r="M178" s="872" t="s">
        <v>203</v>
      </c>
      <c r="N178" s="877" t="e">
        <f t="shared" si="7"/>
        <v>#N/A</v>
      </c>
      <c r="O178" s="874">
        <f>0.5*(100%-95%)^-2</f>
        <v>199.99999999999966</v>
      </c>
      <c r="P178" s="925" t="e">
        <f t="shared" si="8"/>
        <v>#N/A</v>
      </c>
      <c r="Q178" s="926" t="e">
        <f t="shared" si="9"/>
        <v>#N/A</v>
      </c>
      <c r="R178" s="932" t="e">
        <f t="shared" si="10"/>
        <v>#N/A</v>
      </c>
      <c r="S178" s="51"/>
    </row>
    <row r="179" spans="1:19" ht="32.1" customHeight="1" x14ac:dyDescent="0.2">
      <c r="A179" s="865" t="s">
        <v>586</v>
      </c>
      <c r="B179" s="912">
        <v>0</v>
      </c>
      <c r="C179" s="872" t="s">
        <v>583</v>
      </c>
      <c r="D179" s="882" t="e">
        <f>_xlfn.STDEV.S(B98:D98)</f>
        <v>#N/A</v>
      </c>
      <c r="E179" s="872" t="s">
        <v>587</v>
      </c>
      <c r="F179" s="872" t="s">
        <v>578</v>
      </c>
      <c r="G179" s="872">
        <f>SQRT(3)</f>
        <v>1.7320508075688772</v>
      </c>
      <c r="H179" s="873" t="e">
        <f t="shared" si="6"/>
        <v>#N/A</v>
      </c>
      <c r="I179" s="872" t="s">
        <v>587</v>
      </c>
      <c r="J179" s="872">
        <v>1</v>
      </c>
      <c r="K179" s="872" t="s">
        <v>203</v>
      </c>
      <c r="L179" s="924" t="e">
        <f>H179*J179</f>
        <v>#N/A</v>
      </c>
      <c r="M179" s="872" t="s">
        <v>203</v>
      </c>
      <c r="N179" s="877" t="e">
        <f t="shared" si="7"/>
        <v>#N/A</v>
      </c>
      <c r="O179" s="872">
        <v>2</v>
      </c>
      <c r="P179" s="925" t="e">
        <f t="shared" si="8"/>
        <v>#N/A</v>
      </c>
      <c r="Q179" s="926" t="e">
        <f t="shared" si="9"/>
        <v>#N/A</v>
      </c>
      <c r="R179" s="933" t="e">
        <f t="shared" si="10"/>
        <v>#N/A</v>
      </c>
      <c r="S179" s="51"/>
    </row>
    <row r="180" spans="1:19" ht="32.1" customHeight="1" x14ac:dyDescent="0.2">
      <c r="A180" s="865" t="s">
        <v>588</v>
      </c>
      <c r="B180" s="912">
        <v>0</v>
      </c>
      <c r="C180" s="872" t="s">
        <v>589</v>
      </c>
      <c r="D180" s="882" t="e">
        <f>IF(C45=5,(2*PI()*1.5^2*0.025)/4+(2*PI()*C49^2*0.025)/4,IF(C45=0.5,(2*PI()*C49^2*0.025)/4,IF(C45=20,(2*PI()*1.5^2*0.025)/4+(2*PI()*C49^2*0.025)/4,IF(C45=2,((2*PI()*C49^2*0.025)/4)))))</f>
        <v>#N/A</v>
      </c>
      <c r="E180" s="872" t="s">
        <v>587</v>
      </c>
      <c r="F180" s="872" t="s">
        <v>553</v>
      </c>
      <c r="G180" s="872">
        <f>SQRT(3)</f>
        <v>1.7320508075688772</v>
      </c>
      <c r="H180" s="873" t="e">
        <f t="shared" si="6"/>
        <v>#N/A</v>
      </c>
      <c r="I180" s="872" t="s">
        <v>587</v>
      </c>
      <c r="J180" s="872">
        <v>1</v>
      </c>
      <c r="K180" s="872" t="s">
        <v>203</v>
      </c>
      <c r="L180" s="924" t="e">
        <f>H180*J180</f>
        <v>#N/A</v>
      </c>
      <c r="M180" s="872" t="s">
        <v>203</v>
      </c>
      <c r="N180" s="877" t="e">
        <f t="shared" si="7"/>
        <v>#N/A</v>
      </c>
      <c r="O180" s="874">
        <f>0.5*(100%-93%)^-2</f>
        <v>102.04081632653076</v>
      </c>
      <c r="P180" s="925" t="e">
        <f t="shared" si="8"/>
        <v>#N/A</v>
      </c>
      <c r="Q180" s="926" t="e">
        <f t="shared" si="9"/>
        <v>#N/A</v>
      </c>
      <c r="R180" s="933" t="e">
        <f t="shared" si="10"/>
        <v>#N/A</v>
      </c>
      <c r="S180" s="51"/>
    </row>
    <row r="181" spans="1:19" ht="32.1" customHeight="1" x14ac:dyDescent="0.2">
      <c r="A181" s="865" t="s">
        <v>588</v>
      </c>
      <c r="B181" s="912">
        <v>0</v>
      </c>
      <c r="C181" s="872" t="s">
        <v>590</v>
      </c>
      <c r="D181" s="881">
        <v>0</v>
      </c>
      <c r="E181" s="872" t="s">
        <v>587</v>
      </c>
      <c r="F181" s="872" t="s">
        <v>553</v>
      </c>
      <c r="G181" s="872">
        <f>SQRT(3)</f>
        <v>1.7320508075688772</v>
      </c>
      <c r="H181" s="873">
        <f t="shared" si="6"/>
        <v>0</v>
      </c>
      <c r="I181" s="872" t="s">
        <v>587</v>
      </c>
      <c r="J181" s="872">
        <v>1</v>
      </c>
      <c r="K181" s="872" t="s">
        <v>203</v>
      </c>
      <c r="L181" s="924">
        <f>H181*J181</f>
        <v>0</v>
      </c>
      <c r="M181" s="872" t="s">
        <v>203</v>
      </c>
      <c r="N181" s="877">
        <f t="shared" si="7"/>
        <v>0</v>
      </c>
      <c r="O181" s="874">
        <f>0.5*(100%-93%)^-2</f>
        <v>102.04081632653076</v>
      </c>
      <c r="P181" s="925">
        <f t="shared" si="8"/>
        <v>0</v>
      </c>
      <c r="Q181" s="926">
        <f t="shared" si="9"/>
        <v>0</v>
      </c>
      <c r="R181" s="927" t="e">
        <f t="shared" si="10"/>
        <v>#N/A</v>
      </c>
      <c r="S181" s="51"/>
    </row>
    <row r="182" spans="1:19" ht="32.1" customHeight="1" x14ac:dyDescent="0.2">
      <c r="A182" s="865" t="s">
        <v>591</v>
      </c>
      <c r="B182" s="918">
        <v>0</v>
      </c>
      <c r="C182" s="934" t="s">
        <v>592</v>
      </c>
      <c r="D182" s="935" t="e">
        <f>IF(C45=5,0.51,IF(C45=20,0.51,IF(C45=0.5,0.03,IF(C45=2,0.03))))</f>
        <v>#N/A</v>
      </c>
      <c r="E182" s="934" t="s">
        <v>587</v>
      </c>
      <c r="F182" s="872" t="s">
        <v>553</v>
      </c>
      <c r="G182" s="934">
        <v>1</v>
      </c>
      <c r="H182" s="936" t="e">
        <f t="shared" si="6"/>
        <v>#N/A</v>
      </c>
      <c r="I182" s="934" t="s">
        <v>587</v>
      </c>
      <c r="J182" s="934">
        <v>1</v>
      </c>
      <c r="K182" s="934" t="s">
        <v>203</v>
      </c>
      <c r="L182" s="937" t="e">
        <f>H182*J182</f>
        <v>#N/A</v>
      </c>
      <c r="M182" s="934" t="s">
        <v>203</v>
      </c>
      <c r="N182" s="938" t="e">
        <f t="shared" si="7"/>
        <v>#N/A</v>
      </c>
      <c r="O182" s="874">
        <f>0.5*(100%-93%)^-2</f>
        <v>102.04081632653076</v>
      </c>
      <c r="P182" s="939" t="e">
        <f t="shared" si="8"/>
        <v>#N/A</v>
      </c>
      <c r="Q182" s="940" t="e">
        <f t="shared" si="9"/>
        <v>#N/A</v>
      </c>
      <c r="R182" s="933" t="e">
        <f t="shared" si="10"/>
        <v>#N/A</v>
      </c>
      <c r="S182" s="51"/>
    </row>
    <row r="183" spans="1:19" ht="32.1" customHeight="1" thickBot="1" x14ac:dyDescent="0.25">
      <c r="A183" s="866" t="s">
        <v>593</v>
      </c>
      <c r="B183" s="919" t="e">
        <f>C44</f>
        <v>#N/A</v>
      </c>
      <c r="C183" s="322"/>
      <c r="D183" s="323"/>
      <c r="E183" s="324"/>
      <c r="F183" s="324"/>
      <c r="G183" s="324"/>
      <c r="H183" s="325"/>
      <c r="I183" s="324"/>
      <c r="J183" s="324"/>
      <c r="K183" s="324"/>
      <c r="L183" s="323"/>
      <c r="M183" s="324"/>
      <c r="N183" s="323"/>
      <c r="O183" s="326"/>
      <c r="P183" s="327"/>
      <c r="Q183" s="328"/>
      <c r="R183" s="174" t="e">
        <f>SUM(R156:R182)</f>
        <v>#N/A</v>
      </c>
      <c r="S183" s="51"/>
    </row>
    <row r="184" spans="1:19" ht="30" customHeight="1" thickBot="1" x14ac:dyDescent="0.3">
      <c r="A184" s="867" t="s">
        <v>594</v>
      </c>
      <c r="B184" s="920" t="e">
        <f>(B155-B160)*(1-(B165/B169))*(1/(B167-B165))*(1-B171*(B173-B183))</f>
        <v>#N/A</v>
      </c>
      <c r="C184" s="175" t="s">
        <v>203</v>
      </c>
      <c r="D184" s="176"/>
      <c r="E184" s="133"/>
      <c r="F184" s="131"/>
      <c r="G184" s="131"/>
      <c r="H184" s="131"/>
      <c r="I184" s="131"/>
      <c r="J184" s="131"/>
      <c r="K184" s="132"/>
      <c r="L184" s="1789" t="s">
        <v>595</v>
      </c>
      <c r="M184" s="1789"/>
      <c r="N184" s="405" t="e">
        <f>SQRT(N156+N157+N158+N159+N161+N162+N163+N164+N166+N168+N180+N170+N172+N174+N175+N176+N177+N179+N181+N182+N178)</f>
        <v>#N/A</v>
      </c>
      <c r="O184" s="406" t="s">
        <v>587</v>
      </c>
      <c r="P184" s="131"/>
      <c r="Q184" s="131"/>
      <c r="R184" s="51"/>
      <c r="S184" s="51"/>
    </row>
    <row r="185" spans="1:19" ht="30" customHeight="1" thickBot="1" x14ac:dyDescent="0.3">
      <c r="A185" s="868"/>
      <c r="B185" s="921"/>
      <c r="C185" s="177"/>
      <c r="D185" s="131"/>
      <c r="E185" s="131"/>
      <c r="F185" s="131"/>
      <c r="G185" s="131"/>
      <c r="H185" s="131"/>
      <c r="I185" s="131"/>
      <c r="J185" s="131"/>
      <c r="K185" s="131"/>
      <c r="L185" s="1683" t="s">
        <v>537</v>
      </c>
      <c r="M185" s="1683"/>
      <c r="N185" s="428" t="e">
        <f>N184^4/(SUM(Q156:Q182))</f>
        <v>#N/A</v>
      </c>
      <c r="O185" s="810" t="e">
        <f>_xlfn.T.INV.2T(0.05,N185)</f>
        <v>#N/A</v>
      </c>
      <c r="P185" s="131"/>
      <c r="Q185" s="131"/>
      <c r="R185" s="51"/>
      <c r="S185" s="51"/>
    </row>
    <row r="186" spans="1:19" ht="30" customHeight="1" thickBot="1" x14ac:dyDescent="0.3">
      <c r="A186" s="869"/>
      <c r="B186" s="922"/>
      <c r="C186" s="178"/>
      <c r="D186" s="176"/>
      <c r="E186" s="131"/>
      <c r="F186" s="131"/>
      <c r="G186" s="131"/>
      <c r="H186" s="131"/>
      <c r="I186" s="131"/>
      <c r="J186" s="179"/>
      <c r="K186" s="132"/>
      <c r="L186" s="1683" t="s">
        <v>596</v>
      </c>
      <c r="M186" s="1683"/>
      <c r="N186" s="811" t="e">
        <f>N184*O185</f>
        <v>#N/A</v>
      </c>
      <c r="O186" s="407" t="s">
        <v>587</v>
      </c>
      <c r="P186" s="131"/>
      <c r="Q186" s="131"/>
      <c r="R186" s="51"/>
      <c r="S186" s="51"/>
    </row>
    <row r="187" spans="1:19" ht="30" customHeight="1" thickBot="1" x14ac:dyDescent="0.25">
      <c r="A187" s="131"/>
      <c r="B187" s="180"/>
      <c r="C187" s="131"/>
      <c r="D187" s="131"/>
      <c r="E187" s="131"/>
      <c r="F187" s="131"/>
      <c r="G187" s="131"/>
      <c r="H187" s="131"/>
      <c r="I187" s="131"/>
      <c r="J187" s="131"/>
      <c r="K187" s="131"/>
      <c r="L187" s="1683" t="s">
        <v>596</v>
      </c>
      <c r="M187" s="1683"/>
      <c r="N187" s="408" t="e">
        <f>N186/1000</f>
        <v>#N/A</v>
      </c>
      <c r="O187" s="407" t="s">
        <v>36</v>
      </c>
      <c r="P187" s="131"/>
      <c r="Q187" s="131"/>
      <c r="R187" s="51"/>
      <c r="S187" s="51"/>
    </row>
    <row r="188" spans="1:19" ht="30" customHeight="1" thickBot="1" x14ac:dyDescent="0.25">
      <c r="A188" s="131"/>
      <c r="B188" s="180"/>
      <c r="C188" s="131"/>
      <c r="D188" s="131"/>
      <c r="E188" s="131"/>
      <c r="F188" s="131"/>
      <c r="G188" s="131"/>
      <c r="H188" s="131"/>
      <c r="I188" s="131"/>
      <c r="J188" s="131"/>
      <c r="K188" s="132"/>
      <c r="L188" s="1683" t="s">
        <v>597</v>
      </c>
      <c r="M188" s="1683"/>
      <c r="N188" s="409" t="e">
        <f>(N186/B184)*100</f>
        <v>#N/A</v>
      </c>
      <c r="O188" s="407" t="s">
        <v>499</v>
      </c>
      <c r="P188" s="131"/>
      <c r="Q188" s="131"/>
      <c r="R188" s="51"/>
      <c r="S188" s="51"/>
    </row>
    <row r="189" spans="1:19" x14ac:dyDescent="0.2">
      <c r="A189" s="51"/>
      <c r="B189" s="51"/>
      <c r="C189" s="51"/>
      <c r="D189" s="51"/>
      <c r="E189" s="181"/>
      <c r="F189" s="51"/>
      <c r="G189" s="51"/>
      <c r="H189" s="51"/>
      <c r="I189" s="51"/>
      <c r="J189" s="51"/>
      <c r="K189" s="51"/>
      <c r="L189" s="51"/>
      <c r="M189" s="51"/>
      <c r="N189" s="51"/>
      <c r="O189" s="51"/>
      <c r="P189" s="51"/>
      <c r="Q189" s="51"/>
      <c r="R189" s="51"/>
      <c r="S189" s="51"/>
    </row>
    <row r="190" spans="1:19" x14ac:dyDescent="0.2">
      <c r="A190" s="51"/>
      <c r="B190" s="51"/>
      <c r="C190" s="51"/>
      <c r="D190" s="51"/>
      <c r="E190" s="181"/>
      <c r="F190" s="51"/>
      <c r="G190" s="51"/>
      <c r="H190" s="51"/>
      <c r="I190" s="51"/>
      <c r="J190" s="51"/>
      <c r="K190" s="51"/>
      <c r="L190" s="51"/>
      <c r="M190" s="51"/>
      <c r="N190" s="51"/>
      <c r="O190" s="51"/>
      <c r="P190" s="51"/>
      <c r="Q190" s="51"/>
      <c r="R190" s="51"/>
      <c r="S190" s="51"/>
    </row>
    <row r="191" spans="1:19" ht="15.75" thickBot="1" x14ac:dyDescent="0.25">
      <c r="A191" s="51"/>
      <c r="B191" s="51"/>
      <c r="C191" s="51"/>
      <c r="D191" s="51"/>
      <c r="E191" s="51"/>
      <c r="F191" s="51"/>
      <c r="G191" s="51"/>
      <c r="H191" s="51"/>
      <c r="I191" s="51"/>
      <c r="J191" s="51"/>
      <c r="K191" s="51"/>
      <c r="L191" s="51"/>
      <c r="M191" s="51"/>
      <c r="N191" s="51"/>
      <c r="O191" s="51"/>
      <c r="P191" s="51"/>
      <c r="Q191" s="51"/>
      <c r="R191" s="51"/>
      <c r="S191" s="51"/>
    </row>
    <row r="192" spans="1:19" ht="30" customHeight="1" thickBot="1" x14ac:dyDescent="0.25">
      <c r="A192" s="1819" t="s">
        <v>598</v>
      </c>
      <c r="B192" s="1820"/>
      <c r="C192" s="1820"/>
      <c r="D192" s="1820"/>
      <c r="E192" s="1820"/>
      <c r="F192" s="1820"/>
      <c r="G192" s="1820"/>
      <c r="H192" s="1821"/>
      <c r="I192" s="51"/>
      <c r="J192" s="51"/>
      <c r="K192" s="1696" t="s">
        <v>599</v>
      </c>
      <c r="L192" s="1697"/>
      <c r="M192" s="52"/>
      <c r="N192" s="182">
        <v>0.3</v>
      </c>
      <c r="O192" s="50">
        <v>1.65</v>
      </c>
      <c r="P192" s="53"/>
      <c r="Q192" s="51"/>
      <c r="R192" s="51"/>
      <c r="S192" s="51"/>
    </row>
    <row r="193" spans="1:19" ht="30" customHeight="1" thickBot="1" x14ac:dyDescent="0.25">
      <c r="A193" s="972"/>
      <c r="B193" s="184" t="s">
        <v>600</v>
      </c>
      <c r="C193" s="185" t="s">
        <v>601</v>
      </c>
      <c r="D193" s="185" t="s">
        <v>599</v>
      </c>
      <c r="E193" s="185" t="s">
        <v>602</v>
      </c>
      <c r="F193" s="185" t="s">
        <v>603</v>
      </c>
      <c r="G193" s="185" t="s">
        <v>604</v>
      </c>
      <c r="H193" s="276" t="s">
        <v>605</v>
      </c>
      <c r="I193" s="51"/>
      <c r="J193" s="51"/>
      <c r="K193" s="1694" t="s">
        <v>606</v>
      </c>
      <c r="L193" s="186" t="e">
        <f>TINV(0.05,N185)</f>
        <v>#N/A</v>
      </c>
      <c r="M193" s="52"/>
      <c r="N193" s="1680" t="s">
        <v>607</v>
      </c>
      <c r="O193" s="1681"/>
      <c r="P193" s="1682"/>
      <c r="Q193" s="51"/>
      <c r="R193" s="51"/>
      <c r="S193" s="51"/>
    </row>
    <row r="194" spans="1:19" ht="30" customHeight="1" thickBot="1" x14ac:dyDescent="0.25">
      <c r="A194" s="187" t="s">
        <v>203</v>
      </c>
      <c r="B194" s="275" t="e">
        <f>G98</f>
        <v>#N/A</v>
      </c>
      <c r="C194" s="275" t="e">
        <f>N184</f>
        <v>#N/A</v>
      </c>
      <c r="D194" s="1704" t="e">
        <f>O185</f>
        <v>#N/A</v>
      </c>
      <c r="E194" s="277" t="e">
        <f>(C194*D194)</f>
        <v>#N/A</v>
      </c>
      <c r="F194" s="1707">
        <v>95</v>
      </c>
      <c r="G194" s="277" t="e">
        <f>B194-C52</f>
        <v>#N/A</v>
      </c>
      <c r="H194" s="303" t="e">
        <f>ABS(G194)</f>
        <v>#N/A</v>
      </c>
      <c r="I194" s="51"/>
      <c r="J194" s="51"/>
      <c r="K194" s="1695"/>
      <c r="L194" s="188" t="e">
        <f>MAX(N156:N182)</f>
        <v>#N/A</v>
      </c>
      <c r="M194" s="189" t="e">
        <f>IF((L195)&lt;=(N192),"1,65","k=2")</f>
        <v>#N/A</v>
      </c>
      <c r="N194" s="190" t="s">
        <v>608</v>
      </c>
      <c r="O194" s="191" t="s">
        <v>609</v>
      </c>
      <c r="P194" s="192" t="s">
        <v>610</v>
      </c>
      <c r="Q194" s="51"/>
      <c r="R194" s="51"/>
      <c r="S194" s="51"/>
    </row>
    <row r="195" spans="1:19" ht="30" customHeight="1" thickBot="1" x14ac:dyDescent="0.25">
      <c r="A195" s="193" t="s">
        <v>611</v>
      </c>
      <c r="B195" s="194" t="e">
        <f>B194/16.38706</f>
        <v>#N/A</v>
      </c>
      <c r="C195" s="194" t="e">
        <f>C194/16.38706</f>
        <v>#N/A</v>
      </c>
      <c r="D195" s="1705"/>
      <c r="E195" s="194" t="e">
        <f>C195*D194</f>
        <v>#N/A</v>
      </c>
      <c r="F195" s="1708"/>
      <c r="G195" s="194" t="e">
        <f>G194/16.38706</f>
        <v>#N/A</v>
      </c>
      <c r="H195" s="304" t="e">
        <f>ABS(G195)</f>
        <v>#N/A</v>
      </c>
      <c r="I195" s="51"/>
      <c r="J195" s="51"/>
      <c r="K195" s="195" t="s">
        <v>612</v>
      </c>
      <c r="L195" s="188" t="e">
        <f>(SQRT(SUM(N156:N159,N161:N164,N166,N168,N170,N172,N174:N179,N181:N182)))/L194</f>
        <v>#N/A</v>
      </c>
      <c r="M195" s="52"/>
      <c r="N195" s="196" t="s">
        <v>608</v>
      </c>
      <c r="O195" s="197" t="s">
        <v>613</v>
      </c>
      <c r="P195" s="198" t="s">
        <v>614</v>
      </c>
      <c r="Q195" s="51"/>
      <c r="R195" s="51"/>
      <c r="S195" s="51"/>
    </row>
    <row r="196" spans="1:19" ht="30" customHeight="1" x14ac:dyDescent="0.2">
      <c r="A196" s="193" t="s">
        <v>469</v>
      </c>
      <c r="B196" s="199" t="e">
        <f>G100</f>
        <v>#N/A</v>
      </c>
      <c r="C196" s="200" t="e">
        <f>(C194/1000)/3.785412</f>
        <v>#N/A</v>
      </c>
      <c r="D196" s="1705"/>
      <c r="E196" s="199" t="e">
        <f>C196*D194</f>
        <v>#N/A</v>
      </c>
      <c r="F196" s="1708"/>
      <c r="G196" s="199" t="e">
        <f>(G194/1000)/3.785412</f>
        <v>#N/A</v>
      </c>
      <c r="H196" s="305" t="e">
        <f>ABS(G196)</f>
        <v>#N/A</v>
      </c>
      <c r="I196" s="51"/>
      <c r="J196" s="51"/>
      <c r="K196" s="51"/>
      <c r="L196" s="51"/>
      <c r="M196" s="51"/>
      <c r="N196" s="51"/>
      <c r="O196" s="51"/>
      <c r="P196" s="51"/>
      <c r="Q196" s="51"/>
      <c r="R196" s="51"/>
      <c r="S196" s="51"/>
    </row>
    <row r="197" spans="1:19" ht="30" customHeight="1" thickBot="1" x14ac:dyDescent="0.25">
      <c r="A197" s="201" t="s">
        <v>499</v>
      </c>
      <c r="B197" s="202" t="e">
        <f>(B194/C52)*100</f>
        <v>#N/A</v>
      </c>
      <c r="C197" s="204" t="e">
        <f>(C196/B196)*100</f>
        <v>#N/A</v>
      </c>
      <c r="D197" s="1706"/>
      <c r="E197" s="203" t="e">
        <f>(C197*D194)</f>
        <v>#N/A</v>
      </c>
      <c r="F197" s="1709"/>
      <c r="G197" s="203" t="e">
        <f>(G196*100)/B196</f>
        <v>#N/A</v>
      </c>
      <c r="H197" s="306" t="e">
        <f>ABS(H196*100)/B196</f>
        <v>#N/A</v>
      </c>
      <c r="I197" s="51"/>
      <c r="J197" s="51"/>
      <c r="K197" s="51"/>
      <c r="L197" s="51"/>
      <c r="M197" s="51"/>
      <c r="N197" s="51"/>
      <c r="O197" s="51"/>
      <c r="P197" s="51"/>
      <c r="Q197" s="51"/>
      <c r="R197" s="51"/>
      <c r="S197" s="51"/>
    </row>
    <row r="198" spans="1:19" x14ac:dyDescent="0.2">
      <c r="A198" s="51"/>
      <c r="B198" s="51"/>
      <c r="C198" s="51"/>
      <c r="D198" s="51"/>
      <c r="E198" s="51"/>
      <c r="F198" s="51"/>
      <c r="G198" s="51"/>
      <c r="H198" s="51"/>
      <c r="I198" s="51"/>
      <c r="J198" s="51"/>
      <c r="K198" s="51"/>
      <c r="L198" s="51"/>
      <c r="M198" s="51"/>
      <c r="N198" s="51"/>
      <c r="O198" s="51"/>
      <c r="P198" s="51"/>
      <c r="Q198" s="51"/>
      <c r="R198" s="51"/>
      <c r="S198" s="51"/>
    </row>
    <row r="199" spans="1:19" x14ac:dyDescent="0.2">
      <c r="A199" s="1202"/>
      <c r="B199" s="1202"/>
      <c r="C199" s="1202"/>
      <c r="D199" s="1202"/>
      <c r="E199" s="1202"/>
      <c r="F199" s="1202"/>
      <c r="G199" s="1202"/>
      <c r="H199" s="1202"/>
      <c r="I199" s="1202"/>
      <c r="J199" s="1202"/>
      <c r="K199" s="1202"/>
      <c r="L199" s="1202"/>
      <c r="M199" s="1202"/>
      <c r="N199" s="1202"/>
      <c r="O199" s="1202"/>
      <c r="P199" s="1202"/>
      <c r="Q199" s="1202"/>
      <c r="R199" s="1202"/>
      <c r="S199" s="1202"/>
    </row>
    <row r="200" spans="1:19" x14ac:dyDescent="0.2">
      <c r="A200" s="1202"/>
      <c r="B200" s="1202"/>
      <c r="C200" s="1202"/>
      <c r="D200" s="1202"/>
      <c r="E200" s="1202"/>
      <c r="F200" s="1202"/>
      <c r="G200" s="1202"/>
      <c r="H200" s="1202"/>
      <c r="I200" s="1202"/>
      <c r="J200" s="1202"/>
      <c r="K200" s="1202"/>
      <c r="L200" s="1202"/>
      <c r="M200" s="1202"/>
      <c r="N200" s="1202"/>
      <c r="O200" s="1202"/>
      <c r="P200" s="1202"/>
      <c r="Q200" s="1202"/>
      <c r="R200" s="1202"/>
      <c r="S200" s="1202"/>
    </row>
    <row r="201" spans="1:19" x14ac:dyDescent="0.2">
      <c r="A201" s="1202"/>
      <c r="B201" s="1202"/>
      <c r="C201" s="1202"/>
      <c r="D201" s="1202"/>
      <c r="E201" s="1202"/>
      <c r="F201" s="1202"/>
      <c r="G201" s="1202"/>
      <c r="H201" s="1202"/>
      <c r="I201" s="1202"/>
      <c r="J201" s="1202"/>
      <c r="K201" s="1202"/>
      <c r="L201" s="1202"/>
      <c r="M201" s="1202"/>
      <c r="N201" s="1202"/>
      <c r="O201" s="1202"/>
      <c r="P201" s="1202"/>
      <c r="Q201" s="1202"/>
      <c r="R201" s="1202"/>
      <c r="S201" s="1202"/>
    </row>
    <row r="202" spans="1:19" x14ac:dyDescent="0.2">
      <c r="A202" s="1202"/>
      <c r="B202" s="1202"/>
      <c r="C202" s="1202"/>
      <c r="D202" s="1202"/>
      <c r="E202" s="1202"/>
      <c r="F202" s="1202"/>
      <c r="G202" s="1202"/>
      <c r="H202" s="1202"/>
      <c r="I202" s="1202"/>
      <c r="J202" s="1202"/>
      <c r="K202" s="1202"/>
      <c r="L202" s="1202"/>
      <c r="M202" s="1202"/>
      <c r="N202" s="1202"/>
      <c r="O202" s="1202"/>
      <c r="P202" s="1202"/>
      <c r="Q202" s="1202"/>
      <c r="R202" s="1202"/>
      <c r="S202" s="1202"/>
    </row>
    <row r="203" spans="1:19" x14ac:dyDescent="0.2">
      <c r="A203" s="1202"/>
      <c r="B203" s="1202"/>
      <c r="C203" s="1202"/>
      <c r="D203" s="1202"/>
      <c r="E203" s="1202"/>
      <c r="F203" s="1202"/>
      <c r="G203" s="1202"/>
      <c r="H203" s="1202"/>
      <c r="I203" s="1202"/>
      <c r="J203" s="1202"/>
      <c r="K203" s="1202"/>
      <c r="L203" s="1202"/>
      <c r="M203" s="1202"/>
      <c r="N203" s="1202"/>
      <c r="O203" s="1202"/>
      <c r="P203" s="1202"/>
      <c r="Q203" s="1202"/>
      <c r="R203" s="1202"/>
      <c r="S203" s="1202"/>
    </row>
    <row r="204" spans="1:19" x14ac:dyDescent="0.2">
      <c r="A204" s="1202"/>
      <c r="B204" s="1202"/>
      <c r="C204" s="1202"/>
      <c r="D204" s="1202"/>
      <c r="E204" s="1202"/>
      <c r="F204" s="1202"/>
      <c r="G204" s="1202"/>
      <c r="H204" s="1202"/>
      <c r="I204" s="1202"/>
      <c r="J204" s="1202"/>
      <c r="K204" s="1202"/>
      <c r="L204" s="1202"/>
      <c r="M204" s="1202"/>
      <c r="N204" s="1202"/>
      <c r="O204" s="1202"/>
      <c r="P204" s="1202"/>
      <c r="Q204" s="1202"/>
      <c r="R204" s="1202"/>
      <c r="S204" s="1202"/>
    </row>
    <row r="205" spans="1:19" x14ac:dyDescent="0.2">
      <c r="A205" s="1202"/>
      <c r="B205" s="1202"/>
      <c r="C205" s="1202"/>
      <c r="D205" s="1202"/>
      <c r="E205" s="1202"/>
      <c r="F205" s="1202"/>
      <c r="G205" s="1202"/>
      <c r="H205" s="1202"/>
      <c r="I205" s="1202"/>
      <c r="J205" s="1202"/>
      <c r="K205" s="1202"/>
      <c r="L205" s="1202"/>
      <c r="M205" s="1202"/>
      <c r="N205" s="1202"/>
      <c r="O205" s="1202"/>
      <c r="P205" s="1202"/>
      <c r="Q205" s="1202"/>
      <c r="R205" s="1202"/>
      <c r="S205" s="1202"/>
    </row>
    <row r="206" spans="1:19" x14ac:dyDescent="0.2">
      <c r="A206" s="1202"/>
      <c r="B206" s="1202"/>
      <c r="C206" s="1202"/>
      <c r="D206" s="1202"/>
      <c r="E206" s="1202"/>
      <c r="F206" s="1202"/>
      <c r="G206" s="1202"/>
      <c r="H206" s="1202"/>
      <c r="I206" s="1202"/>
      <c r="J206" s="1202"/>
      <c r="K206" s="1202"/>
      <c r="L206" s="1202"/>
      <c r="M206" s="1202"/>
      <c r="N206" s="1202"/>
      <c r="O206" s="1202"/>
      <c r="P206" s="1202"/>
      <c r="Q206" s="1202"/>
      <c r="R206" s="1202"/>
      <c r="S206" s="1202"/>
    </row>
    <row r="207" spans="1:19" x14ac:dyDescent="0.2">
      <c r="A207" s="1202"/>
      <c r="B207" s="1202"/>
      <c r="C207" s="1202"/>
      <c r="D207" s="1202"/>
      <c r="E207" s="1202"/>
      <c r="F207" s="1202"/>
      <c r="G207" s="1202"/>
      <c r="H207" s="1202"/>
      <c r="I207" s="1202"/>
      <c r="J207" s="1202"/>
      <c r="K207" s="1202"/>
      <c r="L207" s="1202"/>
      <c r="M207" s="1202"/>
      <c r="N207" s="1202"/>
      <c r="O207" s="1202"/>
      <c r="P207" s="1202"/>
      <c r="Q207" s="1202"/>
      <c r="R207" s="1202"/>
      <c r="S207" s="1202"/>
    </row>
  </sheetData>
  <sheetProtection password="CF5C" sheet="1" objects="1" scenarios="1"/>
  <mergeCells count="98">
    <mergeCell ref="L188:M188"/>
    <mergeCell ref="K192:L192"/>
    <mergeCell ref="K193:K194"/>
    <mergeCell ref="N193:P193"/>
    <mergeCell ref="D194:D197"/>
    <mergeCell ref="F194:F197"/>
    <mergeCell ref="A192:H192"/>
    <mergeCell ref="V174:X174"/>
    <mergeCell ref="V175:X175"/>
    <mergeCell ref="L184:M184"/>
    <mergeCell ref="L185:M185"/>
    <mergeCell ref="L186:M186"/>
    <mergeCell ref="L187:M187"/>
    <mergeCell ref="L149:M149"/>
    <mergeCell ref="A151:R152"/>
    <mergeCell ref="D153:E153"/>
    <mergeCell ref="H153:I153"/>
    <mergeCell ref="J153:K153"/>
    <mergeCell ref="L153:M153"/>
    <mergeCell ref="D134:E134"/>
    <mergeCell ref="H134:I134"/>
    <mergeCell ref="J134:K134"/>
    <mergeCell ref="L134:M134"/>
    <mergeCell ref="L147:M147"/>
    <mergeCell ref="L148:M148"/>
    <mergeCell ref="L125:M125"/>
    <mergeCell ref="L126:M126"/>
    <mergeCell ref="L127:M127"/>
    <mergeCell ref="L128:M128"/>
    <mergeCell ref="B130:D130"/>
    <mergeCell ref="A132:P133"/>
    <mergeCell ref="E101:L101"/>
    <mergeCell ref="A102:I102"/>
    <mergeCell ref="E107:G107"/>
    <mergeCell ref="A108:P109"/>
    <mergeCell ref="D110:E110"/>
    <mergeCell ref="H110:I110"/>
    <mergeCell ref="J110:K110"/>
    <mergeCell ref="L110:M110"/>
    <mergeCell ref="A80:G80"/>
    <mergeCell ref="A50:B50"/>
    <mergeCell ref="A51:B51"/>
    <mergeCell ref="A53:B53"/>
    <mergeCell ref="A55:B55"/>
    <mergeCell ref="C55:F55"/>
    <mergeCell ref="A57:E57"/>
    <mergeCell ref="A72:A73"/>
    <mergeCell ref="A76:A77"/>
    <mergeCell ref="A66:D66"/>
    <mergeCell ref="E66:F66"/>
    <mergeCell ref="A71:D71"/>
    <mergeCell ref="E71:F71"/>
    <mergeCell ref="A75:D75"/>
    <mergeCell ref="E75:F75"/>
    <mergeCell ref="G67:J67"/>
    <mergeCell ref="S34:S35"/>
    <mergeCell ref="A39:D39"/>
    <mergeCell ref="L34:L35"/>
    <mergeCell ref="M34:M35"/>
    <mergeCell ref="A49:B49"/>
    <mergeCell ref="A41:B41"/>
    <mergeCell ref="C41:D41"/>
    <mergeCell ref="A42:B42"/>
    <mergeCell ref="C42:D42"/>
    <mergeCell ref="A43:B43"/>
    <mergeCell ref="C43:D43"/>
    <mergeCell ref="A44:B44"/>
    <mergeCell ref="A45:B45"/>
    <mergeCell ref="A46:B46"/>
    <mergeCell ref="A47:B47"/>
    <mergeCell ref="A48:B48"/>
    <mergeCell ref="P34:P35"/>
    <mergeCell ref="C40:D40"/>
    <mergeCell ref="H34:H35"/>
    <mergeCell ref="I34:I35"/>
    <mergeCell ref="J34:J35"/>
    <mergeCell ref="K34:K35"/>
    <mergeCell ref="C34:C35"/>
    <mergeCell ref="D34:D35"/>
    <mergeCell ref="E34:E35"/>
    <mergeCell ref="F34:F35"/>
    <mergeCell ref="G34:G35"/>
    <mergeCell ref="L80:N80"/>
    <mergeCell ref="G68:J68"/>
    <mergeCell ref="A1:B1"/>
    <mergeCell ref="D1:R1"/>
    <mergeCell ref="D3:E3"/>
    <mergeCell ref="G3:H3"/>
    <mergeCell ref="J3:K3"/>
    <mergeCell ref="M3:N3"/>
    <mergeCell ref="P3:R3"/>
    <mergeCell ref="A5:R5"/>
    <mergeCell ref="A8:A12"/>
    <mergeCell ref="A13:A22"/>
    <mergeCell ref="A23:A31"/>
    <mergeCell ref="B34:B35"/>
    <mergeCell ref="N34:N35"/>
    <mergeCell ref="O34:O35"/>
  </mergeCells>
  <conditionalFormatting sqref="H81">
    <cfRule type="colorScale" priority="9">
      <colorScale>
        <cfvo type="min"/>
        <cfvo type="percentile" val="50"/>
        <cfvo type="max"/>
        <color rgb="FFF8696B"/>
        <color rgb="FFFFEB84"/>
        <color rgb="FF63BE7B"/>
      </colorScale>
    </cfRule>
  </conditionalFormatting>
  <conditionalFormatting sqref="K90">
    <cfRule type="containsText" dxfId="15" priority="7" operator="containsText" text="AJUSTADO">
      <formula>NOT(ISERROR(SEARCH("AJUSTADO",K90)))</formula>
    </cfRule>
    <cfRule type="containsText" dxfId="14" priority="8" operator="containsText" text="AJUSTAR">
      <formula>NOT(ISERROR(SEARCH("AJUSTAR",K90)))</formula>
    </cfRule>
  </conditionalFormatting>
  <conditionalFormatting sqref="G67">
    <cfRule type="containsText" dxfId="13" priority="5" operator="containsText" text="La temperatura de al menos una medición está fuera del intervalo">
      <formula>NOT(ISERROR(SEARCH("La temperatura de al menos una medición está fuera del intervalo",G67)))</formula>
    </cfRule>
    <cfRule type="containsText" dxfId="12" priority="6" operator="containsText" text="La temperatura está dentro del intervalo de condiciones ambientales">
      <formula>NOT(ISERROR(SEARCH("La temperatura está dentro del intervalo de condiciones ambientales",G67)))</formula>
    </cfRule>
  </conditionalFormatting>
  <conditionalFormatting sqref="G68:J68">
    <cfRule type="containsText" dxfId="11" priority="3" operator="containsText" text="La humedad de al menos una medición está fuera del intervalo">
      <formula>NOT(ISERROR(SEARCH("La humedad de al menos una medición está fuera del intervalo",G68)))</formula>
    </cfRule>
    <cfRule type="containsText" dxfId="10" priority="4" operator="containsText" text="La humedad está dentro del intervalo de condiciones ambientales">
      <formula>NOT(ISERROR(SEARCH("La humedad está dentro del intervalo de condiciones ambientales",G68)))</formula>
    </cfRule>
  </conditionalFormatting>
  <conditionalFormatting sqref="L83:N85">
    <cfRule type="colorScale" priority="1">
      <colorScale>
        <cfvo type="num" val="3"/>
        <cfvo type="num" val="3"/>
        <color rgb="FF92D050"/>
        <color rgb="FFFF0000"/>
      </colorScale>
    </cfRule>
  </conditionalFormatting>
  <pageMargins left="0.70866141732283472" right="0.70866141732283472" top="0.74803149606299213" bottom="0.74803149606299213" header="0.31496062992125984" footer="0.31496062992125984"/>
  <pageSetup scale="10" pageOrder="overThenDown" orientation="portrait" r:id="rId1"/>
  <headerFooter>
    <oddFooter>&amp;RRT03-F52 Vr.3 (2023-06-06)</oddFooter>
  </headerFooter>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14:formula1>
            <xm:f>'DATOS ¬'!$C$67:$C$129</xm:f>
          </x14:formula1>
          <xm:sqref>S24:S31</xm:sqref>
        </x14:dataValidation>
        <x14:dataValidation type="list" allowBlank="1" showInputMessage="1" showErrorMessage="1">
          <x14:formula1>
            <xm:f>'DATOS ¬'!$B$123:$B$128</xm:f>
          </x14:formula1>
          <xm:sqref>H81</xm:sqref>
        </x14:dataValidation>
        <x14:dataValidation type="list" allowBlank="1" showInputMessage="1" showErrorMessage="1">
          <x14:formula1>
            <xm:f>'DATOS ¬'!$A$39:$A$61</xm:f>
          </x14:formula1>
          <xm:sqref>H90</xm:sqref>
        </x14:dataValidation>
        <x14:dataValidation type="list" allowBlank="1" showInputMessage="1" showErrorMessage="1">
          <x14:formula1>
            <xm:f>'DATOS ¬'!$C$209:$C$211</xm:f>
          </x14:formula1>
          <xm:sqref>S32</xm:sqref>
        </x14:dataValidation>
        <x14:dataValidation type="list" allowBlank="1" showInputMessage="1" showErrorMessage="1">
          <x14:formula1>
            <xm:f>'DATOS ¬'!$C$202:$C$204</xm:f>
          </x14:formula1>
          <xm:sqref>S7</xm:sqref>
        </x14:dataValidation>
        <x14:dataValidation type="list" allowBlank="1" showInputMessage="1" showErrorMessage="1">
          <x14:formula1>
            <xm:f>'DATOS ¬'!$A$179:$A$192</xm:f>
          </x14:formula1>
          <xm:sqref>H85</xm:sqref>
        </x14:dataValidation>
        <x14:dataValidation type="list" allowBlank="1" showInputMessage="1" showErrorMessage="1">
          <x14:formula1>
            <xm:f>'DATOS ¬'!$B$14:$B$16</xm:f>
          </x14:formula1>
          <xm:sqref>E41</xm:sqref>
        </x14:dataValidation>
        <x14:dataValidation type="list" allowBlank="1" showInputMessage="1" showErrorMessage="1">
          <x14:formula1>
            <xm:f>'DATOS ¬'!$C$67:$C$120</xm:f>
          </x14:formula1>
          <xm:sqref>S23</xm:sqref>
        </x14:dataValidation>
        <x14:dataValidation type="list" allowBlank="1" showInputMessage="1" showErrorMessage="1">
          <x14:formula1>
            <xm:f>'DATOS ¬'!$C$132:$C$137</xm:f>
          </x14:formula1>
          <xm:sqref>S33</xm:sqref>
        </x14:dataValidation>
        <x14:dataValidation type="list" allowBlank="1" showInputMessage="1" showErrorMessage="1">
          <x14:formula1>
            <xm:f>'DATOS ¬'!$C$141:$C$147</xm:f>
          </x14:formula1>
          <xm:sqref>S34:S35</xm:sqref>
        </x14:dataValidation>
        <x14:dataValidation type="list" allowBlank="1" showInputMessage="1" showErrorMessage="1">
          <x14:formula1>
            <xm:f>'DATOS ¬'!$C$151:$C$152</xm:f>
          </x14:formula1>
          <xm:sqref>S36</xm:sqref>
        </x14:dataValidation>
        <x14:dataValidation type="list" allowBlank="1" showInputMessage="1" showErrorMessage="1">
          <x14:formula1>
            <xm:f>'DATOS ¬'!$C$157:$C$172</xm:f>
          </x14:formula1>
          <xm:sqref>S37:S51</xm:sqref>
        </x14:dataValidation>
        <x14:dataValidation type="list" allowBlank="1" showInputMessage="1" showErrorMessage="1">
          <x14:formula1>
            <xm:f>'DATOS ¬'!$D$7:$D$9</xm:f>
          </x14:formula1>
          <xm:sqref>S3</xm:sqref>
        </x14:dataValidation>
        <x14:dataValidation type="list" allowBlank="1" showInputMessage="1" showErrorMessage="1">
          <x14:formula1>
            <xm:f>'DATOS ¬'!$P$9:$P$13</xm:f>
          </x14:formula1>
          <xm:sqref>G55</xm:sqref>
        </x14:dataValidation>
        <x14:dataValidation type="list" allowBlank="1" showInputMessage="1" showErrorMessage="1">
          <x14:formula1>
            <xm:f>'DATOS ¬'!$C$177:$C$198</xm:f>
          </x14:formula1>
          <xm:sqref>S13:S22</xm:sqref>
        </x14:dataValidation>
        <x14:dataValidation type="list" allowBlank="1" showInputMessage="1" showErrorMessage="1">
          <x14:formula1>
            <xm:f>'DATOS ¬'!$C$37:$C$60</xm:f>
          </x14:formula1>
          <xm:sqref>S8:S12</xm:sqref>
        </x14:dataValidation>
        <x14:dataValidation type="list" allowBlank="1" showInputMessage="1" showErrorMessage="1">
          <x14:formula1>
            <xm:f>'DATOS ¬'!$A$39:$A$40</xm:f>
          </x14:formula1>
          <xm:sqref>O91</xm:sqref>
        </x14:dataValidation>
        <x14:dataValidation type="list" allowBlank="1" showInputMessage="1" showErrorMessage="1">
          <x14:formula1>
            <xm:f>'DATOS ¬'!$B$217:$B$247</xm:f>
          </x14:formula1>
          <xm:sqref>E58 C58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3"/>
  <sheetViews>
    <sheetView showGridLines="0" zoomScale="50" zoomScaleNormal="50" zoomScaleSheetLayoutView="80" workbookViewId="0">
      <selection activeCell="B24" sqref="B24:L24"/>
    </sheetView>
  </sheetViews>
  <sheetFormatPr baseColWidth="10" defaultColWidth="11.42578125" defaultRowHeight="60" customHeight="1" x14ac:dyDescent="0.2"/>
  <cols>
    <col min="1" max="1" width="23.5703125" style="278" customWidth="1"/>
    <col min="2" max="3" width="14.42578125" style="278" customWidth="1"/>
    <col min="4" max="4" width="17.28515625" style="278" bestFit="1" customWidth="1"/>
    <col min="5" max="5" width="21.42578125" style="278" bestFit="1" customWidth="1"/>
    <col min="6" max="6" width="13" style="278" bestFit="1" customWidth="1"/>
    <col min="7" max="7" width="20.7109375" style="278" customWidth="1"/>
    <col min="8" max="8" width="19" style="278" customWidth="1"/>
    <col min="9" max="9" width="22.28515625" style="278" customWidth="1"/>
    <col min="10" max="10" width="16.5703125" style="278" bestFit="1" customWidth="1"/>
    <col min="11" max="16384" width="11.42578125" style="278"/>
  </cols>
  <sheetData>
    <row r="1" spans="1:17" ht="92.25" customHeight="1" x14ac:dyDescent="0.2">
      <c r="A1" s="1827"/>
      <c r="B1" s="1828"/>
      <c r="C1" s="1829"/>
      <c r="D1" s="1830" t="s">
        <v>0</v>
      </c>
      <c r="E1" s="1831"/>
      <c r="F1" s="1831"/>
      <c r="G1" s="1831"/>
      <c r="H1" s="1831"/>
      <c r="I1" s="1831"/>
      <c r="J1" s="1831"/>
      <c r="K1" s="1831"/>
      <c r="L1" s="1831"/>
      <c r="M1" s="1831"/>
      <c r="N1" s="1831"/>
      <c r="O1" s="1831"/>
      <c r="P1" s="1831"/>
      <c r="Q1" s="1832"/>
    </row>
    <row r="2" spans="1:17" ht="21.75" customHeight="1" thickBot="1" x14ac:dyDescent="0.3">
      <c r="A2" s="1187"/>
      <c r="B2" s="1187"/>
      <c r="C2" s="1187"/>
      <c r="D2" s="1187"/>
      <c r="E2" s="1187"/>
      <c r="F2" s="1187"/>
      <c r="G2" s="1187"/>
      <c r="H2" s="1187"/>
      <c r="I2" s="1187"/>
      <c r="J2" s="1187"/>
      <c r="K2" s="1187"/>
      <c r="L2" s="1187"/>
      <c r="M2" s="1187"/>
      <c r="N2" s="1187"/>
      <c r="O2" s="1187"/>
      <c r="P2" s="1187"/>
      <c r="Q2" s="1187"/>
    </row>
    <row r="3" spans="1:17" ht="60" customHeight="1" thickBot="1" x14ac:dyDescent="0.25">
      <c r="A3" s="46" t="s">
        <v>619</v>
      </c>
      <c r="B3" s="49" t="s">
        <v>620</v>
      </c>
      <c r="C3" s="48" t="s">
        <v>621</v>
      </c>
      <c r="D3" s="47" t="s">
        <v>622</v>
      </c>
      <c r="E3" s="47" t="s">
        <v>623</v>
      </c>
      <c r="F3" s="48" t="s">
        <v>624</v>
      </c>
      <c r="G3" s="1833" t="s">
        <v>625</v>
      </c>
      <c r="H3" s="1834"/>
      <c r="I3" s="1835"/>
      <c r="J3" s="1187"/>
      <c r="K3" s="1206"/>
      <c r="L3" s="1206"/>
      <c r="M3" s="1187"/>
      <c r="N3" s="1187"/>
      <c r="O3" s="1187"/>
      <c r="P3" s="1187"/>
      <c r="Q3" s="1187"/>
    </row>
    <row r="4" spans="1:17" ht="30.75" customHeight="1" x14ac:dyDescent="0.25">
      <c r="A4" s="279">
        <v>1</v>
      </c>
      <c r="B4" s="1207" t="b">
        <f>IF('DATOS ¬'!G15=0.5,0.946353,IF('DATOS ¬'!G15=5,9.46353,IF('DATOS ¬'!G15=20,10,IF('DATOS ¬'!G15=2,1))))</f>
        <v>0</v>
      </c>
      <c r="C4" s="1207">
        <f>-B4</f>
        <v>0</v>
      </c>
      <c r="D4" s="280">
        <v>0</v>
      </c>
      <c r="E4" s="1208"/>
      <c r="F4" s="1208"/>
      <c r="G4" s="281" t="s">
        <v>626</v>
      </c>
      <c r="H4" s="282" t="s">
        <v>627</v>
      </c>
      <c r="I4" s="283" t="s">
        <v>628</v>
      </c>
      <c r="J4" s="1187"/>
      <c r="K4" s="1187"/>
      <c r="L4" s="1187"/>
      <c r="M4" s="1187"/>
      <c r="N4" s="1187"/>
      <c r="O4" s="1187"/>
      <c r="P4" s="1187"/>
      <c r="Q4" s="1187"/>
    </row>
    <row r="5" spans="1:17" ht="30" customHeight="1" x14ac:dyDescent="0.25">
      <c r="A5" s="284" t="s">
        <v>629</v>
      </c>
      <c r="B5" s="1209" t="b">
        <f>B4</f>
        <v>0</v>
      </c>
      <c r="C5" s="1209">
        <f>-B5</f>
        <v>0</v>
      </c>
      <c r="D5" s="285">
        <v>0</v>
      </c>
      <c r="E5" s="1210" t="e">
        <f>ABS('RT03-F52 ¬ '!G194)</f>
        <v>#N/A</v>
      </c>
      <c r="F5" s="1211" t="e">
        <f>'RT03-F52 ¬ '!E194</f>
        <v>#N/A</v>
      </c>
      <c r="G5" s="1209" t="e">
        <f>(B5-E5)/(F5/2)</f>
        <v>#N/A</v>
      </c>
      <c r="H5" s="1212" t="e">
        <f>_xlfn.NORM.S.DIST(G5,1)</f>
        <v>#N/A</v>
      </c>
      <c r="I5" s="1213" t="e">
        <f>1-H5</f>
        <v>#N/A</v>
      </c>
      <c r="J5" s="1187"/>
      <c r="K5" s="1187"/>
      <c r="L5" s="1187"/>
      <c r="M5" s="1187"/>
      <c r="N5" s="1187"/>
      <c r="O5" s="1187"/>
      <c r="P5" s="1187"/>
      <c r="Q5" s="1187"/>
    </row>
    <row r="6" spans="1:17" ht="24" customHeight="1" x14ac:dyDescent="0.2">
      <c r="A6" s="284" t="s">
        <v>630</v>
      </c>
      <c r="B6" s="1209" t="b">
        <f>B4</f>
        <v>0</v>
      </c>
      <c r="C6" s="1209">
        <f>-B6</f>
        <v>0</v>
      </c>
      <c r="D6" s="285">
        <v>0</v>
      </c>
      <c r="E6" s="1210" t="e">
        <f>ABS('Despues de ajuste RT03-F52 ¬'!G194)</f>
        <v>#N/A</v>
      </c>
      <c r="F6" s="1211" t="e">
        <f>'RT03-F52 ¬ '!E194</f>
        <v>#N/A</v>
      </c>
      <c r="G6" s="286" t="s">
        <v>631</v>
      </c>
      <c r="H6" s="287" t="s">
        <v>627</v>
      </c>
      <c r="I6" s="288" t="s">
        <v>628</v>
      </c>
      <c r="J6" s="1187"/>
      <c r="K6" s="1187"/>
      <c r="L6" s="1187"/>
      <c r="M6" s="1187"/>
      <c r="N6" s="1187"/>
      <c r="O6" s="1187"/>
      <c r="P6" s="1187"/>
      <c r="Q6" s="1187"/>
    </row>
    <row r="7" spans="1:17" ht="27.75" customHeight="1" x14ac:dyDescent="0.25">
      <c r="A7" s="284">
        <v>3</v>
      </c>
      <c r="B7" s="1209" t="b">
        <f>B4</f>
        <v>0</v>
      </c>
      <c r="C7" s="1209">
        <f>-B7</f>
        <v>0</v>
      </c>
      <c r="D7" s="285">
        <v>0</v>
      </c>
      <c r="E7" s="1214"/>
      <c r="F7" s="1214"/>
      <c r="G7" s="1209" t="e">
        <f>(E5-C5)/(F5/2)</f>
        <v>#N/A</v>
      </c>
      <c r="H7" s="1212" t="e">
        <f>_xlfn.NORM.S.DIST(G7,1)</f>
        <v>#N/A</v>
      </c>
      <c r="I7" s="1215" t="e">
        <f>1-H7</f>
        <v>#N/A</v>
      </c>
      <c r="J7" s="1187"/>
      <c r="K7" s="1187"/>
      <c r="L7" s="1187"/>
      <c r="M7" s="1187"/>
      <c r="N7" s="1187"/>
      <c r="O7" s="1187"/>
      <c r="P7" s="1187"/>
      <c r="Q7" s="1187"/>
    </row>
    <row r="8" spans="1:17" ht="31.5" customHeight="1" thickBot="1" x14ac:dyDescent="0.3">
      <c r="A8" s="289">
        <v>4</v>
      </c>
      <c r="B8" s="1216" t="b">
        <f>B4</f>
        <v>0</v>
      </c>
      <c r="C8" s="1216">
        <f>-B8</f>
        <v>0</v>
      </c>
      <c r="D8" s="290">
        <v>0</v>
      </c>
      <c r="E8" s="1217"/>
      <c r="F8" s="1217"/>
      <c r="G8" s="1836" t="e">
        <f>IF(AND(H5&gt;=97.5%,I5&lt;=2.5%),"CUMPLE","NO CUMPLE")</f>
        <v>#N/A</v>
      </c>
      <c r="H8" s="1837"/>
      <c r="I8" s="1838"/>
      <c r="J8" s="1187"/>
      <c r="K8" s="1187"/>
      <c r="L8" s="1187"/>
      <c r="M8" s="1187"/>
      <c r="N8" s="1187"/>
      <c r="O8" s="1187"/>
      <c r="P8" s="1187"/>
      <c r="Q8" s="1187"/>
    </row>
    <row r="9" spans="1:17" ht="38.25" customHeight="1" thickBot="1" x14ac:dyDescent="0.25">
      <c r="A9" s="1218" t="e">
        <f>B13/2000</f>
        <v>#N/A</v>
      </c>
      <c r="B9" s="1219"/>
      <c r="C9" s="1219"/>
      <c r="D9" s="1219"/>
      <c r="E9" s="1219"/>
      <c r="F9" s="1219"/>
      <c r="G9" s="1825" t="s">
        <v>632</v>
      </c>
      <c r="H9" s="1839"/>
      <c r="I9" s="1826"/>
      <c r="J9" s="1187"/>
      <c r="K9" s="1187"/>
      <c r="L9" s="1187"/>
      <c r="M9" s="1187"/>
      <c r="N9" s="1187"/>
      <c r="O9" s="1187"/>
      <c r="P9" s="1187"/>
      <c r="Q9" s="1187"/>
    </row>
    <row r="10" spans="1:17" ht="60" customHeight="1" thickBot="1" x14ac:dyDescent="0.3">
      <c r="A10" s="1219"/>
      <c r="B10" s="1701" t="s">
        <v>633</v>
      </c>
      <c r="C10" s="1703"/>
      <c r="D10" s="1219"/>
      <c r="E10" s="1219"/>
      <c r="F10" s="1219"/>
      <c r="G10" s="291" t="s">
        <v>626</v>
      </c>
      <c r="H10" s="292" t="s">
        <v>627</v>
      </c>
      <c r="I10" s="293" t="s">
        <v>628</v>
      </c>
      <c r="J10" s="1187"/>
      <c r="K10" s="1187"/>
      <c r="L10" s="1187"/>
      <c r="M10" s="1187"/>
      <c r="N10" s="1187"/>
      <c r="O10" s="1187"/>
      <c r="P10" s="1187"/>
      <c r="Q10" s="1187"/>
    </row>
    <row r="11" spans="1:17" ht="31.5" customHeight="1" x14ac:dyDescent="0.25">
      <c r="A11" s="1219"/>
      <c r="B11" s="1220" t="e">
        <f>'RT03-F52 ¬ '!C45</f>
        <v>#N/A</v>
      </c>
      <c r="C11" s="1221" t="s">
        <v>469</v>
      </c>
      <c r="D11" s="1219"/>
      <c r="E11" s="1219"/>
      <c r="F11" s="1219"/>
      <c r="G11" s="1207" t="e">
        <f>(B6-E6)/(F6/2)</f>
        <v>#N/A</v>
      </c>
      <c r="H11" s="1222" t="e">
        <f>_xlfn.NORM.S.DIST(G11,1)</f>
        <v>#N/A</v>
      </c>
      <c r="I11" s="1223" t="e">
        <f>1-H11</f>
        <v>#N/A</v>
      </c>
      <c r="J11" s="1187"/>
      <c r="K11" s="1187"/>
      <c r="L11" s="1187"/>
      <c r="M11" s="1187"/>
      <c r="N11" s="1187"/>
      <c r="O11" s="1187"/>
      <c r="P11" s="1187"/>
      <c r="Q11" s="1187"/>
    </row>
    <row r="12" spans="1:17" ht="29.25" customHeight="1" x14ac:dyDescent="0.25">
      <c r="A12" s="1219"/>
      <c r="B12" s="1224" t="e">
        <f>B11*3.785412</f>
        <v>#N/A</v>
      </c>
      <c r="C12" s="1225" t="s">
        <v>36</v>
      </c>
      <c r="D12" s="1219"/>
      <c r="E12" s="1219"/>
      <c r="F12" s="1219"/>
      <c r="G12" s="286" t="s">
        <v>631</v>
      </c>
      <c r="H12" s="287" t="s">
        <v>627</v>
      </c>
      <c r="I12" s="288" t="s">
        <v>628</v>
      </c>
      <c r="J12" s="1187"/>
      <c r="K12" s="1187"/>
      <c r="L12" s="1187"/>
      <c r="M12" s="1187"/>
      <c r="N12" s="1187"/>
      <c r="O12" s="1187"/>
      <c r="P12" s="1187"/>
      <c r="Q12" s="1187"/>
    </row>
    <row r="13" spans="1:17" ht="33" customHeight="1" thickBot="1" x14ac:dyDescent="0.3">
      <c r="A13" s="1219"/>
      <c r="B13" s="1226" t="e">
        <f>B12*1000</f>
        <v>#N/A</v>
      </c>
      <c r="C13" s="1227" t="s">
        <v>203</v>
      </c>
      <c r="D13" s="1219"/>
      <c r="E13" s="1219"/>
      <c r="F13" s="1219"/>
      <c r="G13" s="1216" t="e">
        <f>(E6-C6)/(F6/2)</f>
        <v>#N/A</v>
      </c>
      <c r="H13" s="1228" t="e">
        <f>_xlfn.NORM.S.DIST(G13,1)</f>
        <v>#N/A</v>
      </c>
      <c r="I13" s="1229" t="e">
        <f>1-H13</f>
        <v>#N/A</v>
      </c>
      <c r="J13" s="1187"/>
      <c r="K13" s="1187"/>
      <c r="L13" s="1187"/>
      <c r="M13" s="1187"/>
      <c r="N13" s="1187"/>
      <c r="O13" s="1187"/>
      <c r="P13" s="1187"/>
      <c r="Q13" s="1187"/>
    </row>
    <row r="14" spans="1:17" ht="60" customHeight="1" thickBot="1" x14ac:dyDescent="0.3">
      <c r="A14" s="1187"/>
      <c r="B14" s="1187"/>
      <c r="C14" s="1187"/>
      <c r="D14" s="1187"/>
      <c r="E14" s="1187"/>
      <c r="F14" s="1187"/>
      <c r="G14" s="1822" t="e">
        <f>IF(AND(H11&gt;=97.5%,I11&lt;=2.5%),"CUMPLE","NO CUMPLE")</f>
        <v>#N/A</v>
      </c>
      <c r="H14" s="1823"/>
      <c r="I14" s="1824"/>
      <c r="J14" s="1187"/>
      <c r="K14" s="1187"/>
      <c r="L14" s="1187"/>
      <c r="M14" s="1187"/>
      <c r="N14" s="1187"/>
      <c r="O14" s="1187"/>
      <c r="P14" s="1187"/>
      <c r="Q14" s="1187"/>
    </row>
    <row r="15" spans="1:17" ht="60" customHeight="1" thickBot="1" x14ac:dyDescent="0.3">
      <c r="A15" s="1187"/>
      <c r="B15" s="1825" t="s">
        <v>634</v>
      </c>
      <c r="C15" s="1826"/>
      <c r="D15" s="1230"/>
      <c r="E15" s="1187"/>
      <c r="F15" s="1187"/>
      <c r="G15" s="1187"/>
      <c r="H15" s="1187"/>
      <c r="I15" s="1187"/>
      <c r="J15" s="1187"/>
      <c r="K15" s="1187"/>
      <c r="L15" s="1187"/>
      <c r="M15" s="1187"/>
      <c r="N15" s="1187"/>
      <c r="O15" s="1187"/>
      <c r="P15" s="1187"/>
      <c r="Q15" s="1187"/>
    </row>
    <row r="16" spans="1:17" ht="24" customHeight="1" x14ac:dyDescent="0.25">
      <c r="A16" s="1187"/>
      <c r="B16" s="1231" t="e">
        <f>'RT03-F52 ¬ '!B196</f>
        <v>#N/A</v>
      </c>
      <c r="C16" s="1232" t="s">
        <v>469</v>
      </c>
      <c r="D16" s="1233"/>
      <c r="E16" s="1187"/>
      <c r="F16" s="1187"/>
      <c r="G16" s="1187"/>
      <c r="H16" s="1187"/>
      <c r="I16" s="1187"/>
      <c r="J16" s="1187"/>
      <c r="K16" s="1187"/>
      <c r="L16" s="1187"/>
      <c r="M16" s="1187"/>
      <c r="N16" s="1187"/>
      <c r="O16" s="1187"/>
      <c r="P16" s="1187"/>
      <c r="Q16" s="1187"/>
    </row>
    <row r="17" spans="2:4" ht="30" customHeight="1" x14ac:dyDescent="0.25">
      <c r="B17" s="1234" t="e">
        <f>B16*3.785412</f>
        <v>#N/A</v>
      </c>
      <c r="C17" s="1235" t="s">
        <v>36</v>
      </c>
      <c r="D17" s="1233"/>
    </row>
    <row r="18" spans="2:4" ht="24.75" customHeight="1" thickBot="1" x14ac:dyDescent="0.3">
      <c r="B18" s="1236">
        <v>18929.91790530556</v>
      </c>
      <c r="C18" s="1237" t="s">
        <v>203</v>
      </c>
      <c r="D18" s="1233"/>
    </row>
    <row r="19" spans="2:4" ht="60" customHeight="1" thickBot="1" x14ac:dyDescent="0.3">
      <c r="B19" s="1187"/>
      <c r="C19" s="1187"/>
      <c r="D19" s="1187"/>
    </row>
    <row r="20" spans="2:4" ht="60" customHeight="1" thickBot="1" x14ac:dyDescent="0.25">
      <c r="B20" s="1825" t="s">
        <v>635</v>
      </c>
      <c r="C20" s="1826"/>
      <c r="D20" s="1230"/>
    </row>
    <row r="21" spans="2:4" ht="33.75" customHeight="1" x14ac:dyDescent="0.25">
      <c r="B21" s="1231" t="e">
        <f>'Despues de ajuste RT03-F52 ¬'!B196</f>
        <v>#N/A</v>
      </c>
      <c r="C21" s="1232" t="s">
        <v>469</v>
      </c>
      <c r="D21" s="1233"/>
    </row>
    <row r="22" spans="2:4" ht="27.75" customHeight="1" x14ac:dyDescent="0.25">
      <c r="B22" s="1234" t="e">
        <f>B21*3.785412</f>
        <v>#N/A</v>
      </c>
      <c r="C22" s="1235" t="s">
        <v>36</v>
      </c>
      <c r="D22" s="1233"/>
    </row>
    <row r="23" spans="2:4" ht="33" customHeight="1" thickBot="1" x14ac:dyDescent="0.3">
      <c r="B23" s="1236">
        <v>18925.567673937952</v>
      </c>
      <c r="C23" s="1237" t="s">
        <v>203</v>
      </c>
      <c r="D23" s="1233"/>
    </row>
  </sheetData>
  <sheetProtection password="CF5C" sheet="1" objects="1" scenarios="1"/>
  <mergeCells count="9">
    <mergeCell ref="G14:I14"/>
    <mergeCell ref="B15:C15"/>
    <mergeCell ref="B20:C20"/>
    <mergeCell ref="A1:C1"/>
    <mergeCell ref="D1:Q1"/>
    <mergeCell ref="G3:I3"/>
    <mergeCell ref="G8:I8"/>
    <mergeCell ref="G9:I9"/>
    <mergeCell ref="B10:C10"/>
  </mergeCells>
  <pageMargins left="0.70866141732283472" right="0.70866141732283472" top="0.74803149606299213" bottom="0.74803149606299213" header="0.31496062992125984" footer="0.31496062992125984"/>
  <pageSetup scale="10" pageOrder="overThenDown" orientation="portrait" r:id="rId1"/>
  <headerFooter>
    <oddFooter>&amp;RRT03-F52 Vr.3 (2023-06-06)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44"/>
  <sheetViews>
    <sheetView showGridLines="0" zoomScale="70" zoomScaleNormal="70" zoomScaleSheetLayoutView="80" workbookViewId="0">
      <selection activeCell="B24" sqref="B24:L24"/>
    </sheetView>
  </sheetViews>
  <sheetFormatPr baseColWidth="10" defaultColWidth="11.42578125" defaultRowHeight="15" x14ac:dyDescent="0.2"/>
  <cols>
    <col min="1" max="1" width="11.42578125" style="278"/>
    <col min="2" max="2" width="20.28515625" style="278" customWidth="1"/>
    <col min="3" max="12" width="18.7109375" style="278" customWidth="1"/>
    <col min="13" max="16384" width="11.42578125" style="278"/>
  </cols>
  <sheetData>
    <row r="1" spans="1:15" ht="93" customHeight="1" x14ac:dyDescent="0.2">
      <c r="A1" s="1849"/>
      <c r="B1" s="1849"/>
      <c r="C1" s="1849"/>
      <c r="D1" s="1830" t="s">
        <v>0</v>
      </c>
      <c r="E1" s="1831"/>
      <c r="F1" s="1831"/>
      <c r="G1" s="1831"/>
      <c r="H1" s="1831"/>
      <c r="I1" s="1831"/>
      <c r="J1" s="1831"/>
      <c r="K1" s="1831"/>
      <c r="L1" s="1831"/>
      <c r="M1" s="1832"/>
      <c r="N1" s="1187"/>
      <c r="O1" s="1187"/>
    </row>
    <row r="2" spans="1:15" ht="9" customHeight="1" thickBot="1" x14ac:dyDescent="0.3">
      <c r="A2" s="1187"/>
      <c r="B2" s="1187"/>
      <c r="C2" s="1187"/>
      <c r="D2" s="1187"/>
      <c r="E2" s="1187"/>
      <c r="F2" s="1187"/>
      <c r="G2" s="1187"/>
      <c r="H2" s="1187"/>
      <c r="I2" s="1187"/>
      <c r="J2" s="1187"/>
      <c r="K2" s="1187"/>
      <c r="L2" s="1187"/>
      <c r="M2" s="1187"/>
      <c r="N2" s="1187"/>
      <c r="O2" s="1187"/>
    </row>
    <row r="3" spans="1:15" ht="15" customHeight="1" x14ac:dyDescent="0.2">
      <c r="A3" s="1187"/>
      <c r="B3" s="1850" t="s">
        <v>636</v>
      </c>
      <c r="C3" s="1851"/>
      <c r="D3" s="1851"/>
      <c r="E3" s="1851"/>
      <c r="F3" s="1851"/>
      <c r="G3" s="1851"/>
      <c r="H3" s="1851"/>
      <c r="I3" s="1851"/>
      <c r="J3" s="1851"/>
      <c r="K3" s="1851"/>
      <c r="L3" s="1851"/>
      <c r="M3" s="1187"/>
      <c r="N3" s="1187"/>
      <c r="O3" s="1187"/>
    </row>
    <row r="4" spans="1:15" ht="23.25" customHeight="1" thickBot="1" x14ac:dyDescent="0.25">
      <c r="A4" s="1187"/>
      <c r="B4" s="1852"/>
      <c r="C4" s="1853"/>
      <c r="D4" s="1853"/>
      <c r="E4" s="1853"/>
      <c r="F4" s="1853"/>
      <c r="G4" s="1853"/>
      <c r="H4" s="1853"/>
      <c r="I4" s="1853"/>
      <c r="J4" s="1853"/>
      <c r="K4" s="1853"/>
      <c r="L4" s="1853"/>
      <c r="M4" s="1187"/>
      <c r="N4" s="1187"/>
      <c r="O4" s="1187"/>
    </row>
    <row r="5" spans="1:15" ht="23.25" customHeight="1" thickBot="1" x14ac:dyDescent="0.25">
      <c r="A5" s="1187"/>
      <c r="B5" s="1187"/>
      <c r="C5" s="1187"/>
      <c r="D5" s="1187"/>
      <c r="E5" s="1187"/>
      <c r="F5" s="1187"/>
      <c r="G5" s="1187"/>
      <c r="H5" s="1187"/>
      <c r="I5" s="1187"/>
      <c r="J5" s="1187"/>
      <c r="K5" s="1187"/>
      <c r="L5" s="1187"/>
      <c r="M5" s="1187"/>
      <c r="N5" s="1842" t="s">
        <v>637</v>
      </c>
      <c r="O5" s="1843"/>
    </row>
    <row r="6" spans="1:15" s="294" customFormat="1" ht="39" customHeight="1" thickBot="1" x14ac:dyDescent="0.25">
      <c r="B6" s="1854" t="s">
        <v>629</v>
      </c>
      <c r="C6" s="1855"/>
      <c r="D6" s="1855"/>
      <c r="E6" s="1855"/>
      <c r="F6" s="1856"/>
      <c r="G6" s="295"/>
      <c r="H6" s="1854" t="s">
        <v>638</v>
      </c>
      <c r="I6" s="1855"/>
      <c r="J6" s="1855"/>
      <c r="K6" s="1855"/>
      <c r="L6" s="1856"/>
      <c r="N6" s="1844"/>
      <c r="O6" s="1845"/>
    </row>
    <row r="7" spans="1:15" s="296" customFormat="1" ht="30" customHeight="1" x14ac:dyDescent="0.25">
      <c r="A7" s="1238"/>
      <c r="B7" s="1123" t="s">
        <v>639</v>
      </c>
      <c r="C7" s="1239">
        <f>'RT03-F52 ¬ '!C53</f>
        <v>0</v>
      </c>
      <c r="D7" s="1124" t="s">
        <v>640</v>
      </c>
      <c r="E7" s="1239">
        <f>'RT03-F52 ¬ '!C100</f>
        <v>0</v>
      </c>
      <c r="F7" s="1240"/>
      <c r="G7" s="1219"/>
      <c r="H7" s="1123" t="s">
        <v>639</v>
      </c>
      <c r="I7" s="1239">
        <f>'Despues de ajuste RT03-F52 ¬'!$C$53</f>
        <v>0</v>
      </c>
      <c r="J7" s="1124" t="s">
        <v>640</v>
      </c>
      <c r="K7" s="1239">
        <f>'Despues de ajuste RT03-F52 ¬'!$C$100</f>
        <v>0</v>
      </c>
      <c r="L7" s="1240">
        <f>'Despues de ajuste RT03-F52 ¬'!$H$81</f>
        <v>0</v>
      </c>
      <c r="M7" s="1238"/>
      <c r="N7" s="1241" t="s">
        <v>641</v>
      </c>
      <c r="O7" s="1242" t="s">
        <v>642</v>
      </c>
    </row>
    <row r="8" spans="1:15" s="296" customFormat="1" ht="30" customHeight="1" x14ac:dyDescent="0.25">
      <c r="A8" s="1238"/>
      <c r="B8" s="958" t="s">
        <v>643</v>
      </c>
      <c r="C8" s="1125" t="s">
        <v>644</v>
      </c>
      <c r="D8" s="1125" t="s">
        <v>35</v>
      </c>
      <c r="E8" s="1125" t="s">
        <v>178</v>
      </c>
      <c r="F8" s="1126" t="s">
        <v>129</v>
      </c>
      <c r="G8" s="1219"/>
      <c r="H8" s="958" t="s">
        <v>643</v>
      </c>
      <c r="I8" s="1125" t="s">
        <v>644</v>
      </c>
      <c r="J8" s="1125" t="s">
        <v>35</v>
      </c>
      <c r="K8" s="1125" t="s">
        <v>178</v>
      </c>
      <c r="L8" s="1126" t="s">
        <v>129</v>
      </c>
      <c r="M8" s="1238"/>
      <c r="N8" s="787">
        <v>17</v>
      </c>
      <c r="O8" s="788">
        <v>23</v>
      </c>
    </row>
    <row r="9" spans="1:15" s="296" customFormat="1" ht="32.1" customHeight="1" x14ac:dyDescent="0.25">
      <c r="A9" s="1238"/>
      <c r="B9" s="1846">
        <f>'DATOS ¬'!I8</f>
        <v>0</v>
      </c>
      <c r="C9" s="287" t="s">
        <v>645</v>
      </c>
      <c r="D9" s="1243"/>
      <c r="E9" s="1243"/>
      <c r="F9" s="1244"/>
      <c r="G9" s="1219"/>
      <c r="H9" s="1846">
        <f>B9</f>
        <v>0</v>
      </c>
      <c r="I9" s="287" t="s">
        <v>645</v>
      </c>
      <c r="J9" s="1243"/>
      <c r="K9" s="1243"/>
      <c r="L9" s="1244"/>
      <c r="M9" s="1238"/>
      <c r="N9" s="1245" t="s">
        <v>646</v>
      </c>
      <c r="O9" s="1246" t="s">
        <v>647</v>
      </c>
    </row>
    <row r="10" spans="1:15" s="296" customFormat="1" ht="32.1" customHeight="1" x14ac:dyDescent="0.25">
      <c r="A10" s="1238"/>
      <c r="B10" s="1847"/>
      <c r="C10" s="287" t="s">
        <v>648</v>
      </c>
      <c r="D10" s="1243"/>
      <c r="E10" s="1243"/>
      <c r="F10" s="1244"/>
      <c r="G10" s="1219"/>
      <c r="H10" s="1847"/>
      <c r="I10" s="287" t="s">
        <v>648</v>
      </c>
      <c r="J10" s="1243"/>
      <c r="K10" s="1243"/>
      <c r="L10" s="1244"/>
      <c r="M10" s="1238"/>
      <c r="N10" s="787">
        <v>30</v>
      </c>
      <c r="O10" s="788">
        <v>80</v>
      </c>
    </row>
    <row r="11" spans="1:15" s="296" customFormat="1" ht="32.1" customHeight="1" x14ac:dyDescent="0.25">
      <c r="A11" s="1238"/>
      <c r="B11" s="1847"/>
      <c r="C11" s="287" t="s">
        <v>649</v>
      </c>
      <c r="D11" s="1247" t="e">
        <f>D9+((VLOOKUP(F7,'DATOS ¬'!$B$123:$O$129,9,FALSE))*D9+(VLOOKUP(F7,'DATOS ¬'!$B$123:$O$173,10,FALSE)))</f>
        <v>#N/A</v>
      </c>
      <c r="E11" s="1247" t="e">
        <f>E9+((VLOOKUP(F7,'DATOS ¬'!$B$123:$O$129,11,FALSE))*E9+(VLOOKUP(F7,'DATOS ¬'!$B$123:$O$129,12,FALSE)))</f>
        <v>#N/A</v>
      </c>
      <c r="F11" s="1248" t="e">
        <f>F9+((VLOOKUP(F7,'DATOS ¬'!$B$123:$O$129,13,FALSE))*F9+(VLOOKUP(F7,'DATOS ¬'!$B$123:$O$129,14,FALSE)))</f>
        <v>#N/A</v>
      </c>
      <c r="G11" s="1219"/>
      <c r="H11" s="1847"/>
      <c r="I11" s="287" t="s">
        <v>649</v>
      </c>
      <c r="J11" s="1247" t="e">
        <f>J9+((VLOOKUP(L7,'DATOS ¬'!$B$123:$O$129,9,FALSE))*J9+(VLOOKUP(L7,'DATOS ¬'!$B$123:$O$173,10,FALSE)))</f>
        <v>#N/A</v>
      </c>
      <c r="K11" s="1247" t="e">
        <f>K9+((VLOOKUP(L7,'DATOS ¬'!$B$123:$O$129,11,FALSE))*K9+(VLOOKUP(L7,'DATOS ¬'!$B$123:$O$129,12,FALSE)))</f>
        <v>#N/A</v>
      </c>
      <c r="L11" s="1248" t="e">
        <f>L9+((VLOOKUP(L7,'DATOS ¬'!$B$123:$O$129,13,FALSE))*L9+(VLOOKUP(L7,'DATOS ¬'!$B$123:$O$129,14,FALSE)))</f>
        <v>#N/A</v>
      </c>
      <c r="M11" s="1238"/>
      <c r="N11" s="1245" t="s">
        <v>650</v>
      </c>
      <c r="O11" s="1246" t="s">
        <v>651</v>
      </c>
    </row>
    <row r="12" spans="1:15" s="296" customFormat="1" ht="32.1" customHeight="1" thickBot="1" x14ac:dyDescent="0.3">
      <c r="A12" s="1238"/>
      <c r="B12" s="1848"/>
      <c r="C12" s="1127" t="s">
        <v>652</v>
      </c>
      <c r="D12" s="1249" t="e">
        <f>D10+((VLOOKUP(F7,'DATOS ¬'!$B$123:$O$129,9,FALSE))*D10+(VLOOKUP(F7,'DATOS ¬'!$B$123:$O$173,10,FALSE)))</f>
        <v>#N/A</v>
      </c>
      <c r="E12" s="1249" t="e">
        <f>E10+((VLOOKUP(F7,'DATOS ¬'!$B$123:$O$129,11,FALSE))*E10+(VLOOKUP(F7,'DATOS ¬'!$B$123:$O$129,12,FALSE)))</f>
        <v>#N/A</v>
      </c>
      <c r="F12" s="1250" t="e">
        <f>F10+((VLOOKUP(F7,'DATOS ¬'!$B$123:$O$129,13,FALSE))*F10+(VLOOKUP(F7,'DATOS ¬'!$B$123:$O$129,14,FALSE)))</f>
        <v>#N/A</v>
      </c>
      <c r="G12" s="1219"/>
      <c r="H12" s="1848"/>
      <c r="I12" s="1127" t="s">
        <v>652</v>
      </c>
      <c r="J12" s="1249" t="e">
        <f>J10+((VLOOKUP(L7,'DATOS ¬'!$B$123:$O$129,9,FALSE))*J10+(VLOOKUP(L7,'DATOS ¬'!$B$123:$O$173,10,FALSE)))</f>
        <v>#N/A</v>
      </c>
      <c r="K12" s="1249" t="e">
        <f>K10+((VLOOKUP(L7,'DATOS ¬'!$B$123:$O$129,11,FALSE))*K10+(VLOOKUP(L7,'DATOS ¬'!$B$123:$O$129,12,FALSE)))</f>
        <v>#N/A</v>
      </c>
      <c r="L12" s="1250" t="e">
        <f>L10+((VLOOKUP(L7,'DATOS ¬'!$B$123:$O$129,13,FALSE))*L10+(VLOOKUP(L7,'DATOS ¬'!$B$123:$O$129,14,FALSE)))</f>
        <v>#N/A</v>
      </c>
      <c r="M12" s="1238"/>
      <c r="N12" s="789">
        <v>700</v>
      </c>
      <c r="O12" s="790">
        <v>800</v>
      </c>
    </row>
    <row r="13" spans="1:15" s="296" customFormat="1" ht="30" customHeight="1" x14ac:dyDescent="0.25">
      <c r="A13" s="1238"/>
      <c r="B13" s="1238"/>
      <c r="C13" s="1251"/>
      <c r="D13" s="1219"/>
      <c r="E13" s="1219"/>
      <c r="F13" s="1219"/>
      <c r="G13" s="1238"/>
      <c r="H13" s="1187"/>
      <c r="I13" s="1187"/>
      <c r="J13" s="1187"/>
      <c r="K13" s="1187"/>
      <c r="L13" s="1187"/>
      <c r="M13" s="1238"/>
      <c r="N13" s="1238"/>
      <c r="O13" s="1238"/>
    </row>
    <row r="14" spans="1:15" s="296" customFormat="1" ht="30" customHeight="1" x14ac:dyDescent="0.3">
      <c r="A14" s="1238"/>
      <c r="B14" s="1238"/>
      <c r="C14" s="1251"/>
      <c r="D14" s="1219"/>
      <c r="E14" s="1219"/>
      <c r="F14" s="1219"/>
      <c r="G14" s="1238"/>
      <c r="H14" s="1238"/>
      <c r="I14" s="1238"/>
      <c r="J14" s="1238"/>
      <c r="K14" s="1238"/>
      <c r="L14" s="1238"/>
      <c r="M14" s="1238"/>
      <c r="N14" s="1238"/>
      <c r="O14" s="1238"/>
    </row>
    <row r="15" spans="1:15" s="296" customFormat="1" ht="30" customHeight="1" x14ac:dyDescent="0.3">
      <c r="A15" s="1238"/>
      <c r="B15" s="1840"/>
      <c r="C15" s="1840"/>
      <c r="D15" s="1840"/>
      <c r="E15" s="1840"/>
      <c r="F15" s="1840"/>
      <c r="G15" s="1238"/>
      <c r="H15" s="1238"/>
      <c r="I15" s="1238"/>
      <c r="J15" s="1238"/>
      <c r="K15" s="1238"/>
      <c r="L15" s="1238"/>
      <c r="M15" s="1238"/>
      <c r="N15" s="1238"/>
      <c r="O15" s="1238"/>
    </row>
    <row r="16" spans="1:15" s="296" customFormat="1" ht="30" customHeight="1" x14ac:dyDescent="0.3">
      <c r="A16" s="1238"/>
      <c r="B16" s="1252"/>
      <c r="C16" s="1238"/>
      <c r="D16" s="1252"/>
      <c r="E16" s="1252"/>
      <c r="F16" s="1252"/>
      <c r="G16" s="1238"/>
      <c r="H16" s="1252"/>
      <c r="I16" s="1238"/>
      <c r="J16" s="1252"/>
      <c r="K16" s="1252"/>
      <c r="L16" s="1252"/>
      <c r="M16" s="1238"/>
      <c r="N16" s="1238"/>
      <c r="O16" s="1238"/>
    </row>
    <row r="17" spans="2:12" s="296" customFormat="1" ht="30" customHeight="1" x14ac:dyDescent="0.25">
      <c r="B17" s="1841"/>
      <c r="C17" s="1219"/>
      <c r="D17" s="1253"/>
      <c r="E17" s="1253"/>
      <c r="F17" s="1253"/>
      <c r="G17" s="1238"/>
      <c r="H17" s="1841"/>
      <c r="I17" s="1219"/>
      <c r="J17" s="1253"/>
      <c r="K17" s="1253"/>
      <c r="L17" s="1253"/>
    </row>
    <row r="18" spans="2:12" s="296" customFormat="1" ht="30" customHeight="1" x14ac:dyDescent="0.25">
      <c r="B18" s="1841"/>
      <c r="C18" s="297"/>
      <c r="D18" s="298"/>
      <c r="E18" s="298"/>
      <c r="F18" s="298"/>
      <c r="G18" s="1238"/>
      <c r="H18" s="1841"/>
      <c r="I18" s="297"/>
      <c r="J18" s="298"/>
      <c r="K18" s="298"/>
      <c r="L18" s="298"/>
    </row>
    <row r="19" spans="2:12" s="296" customFormat="1" ht="30" customHeight="1" x14ac:dyDescent="0.25">
      <c r="B19" s="1841"/>
      <c r="C19" s="297"/>
      <c r="D19" s="298"/>
      <c r="E19" s="298"/>
      <c r="F19" s="298"/>
      <c r="G19" s="1238"/>
      <c r="H19" s="1841"/>
      <c r="I19" s="297"/>
      <c r="J19" s="298"/>
      <c r="K19" s="298"/>
      <c r="L19" s="298"/>
    </row>
    <row r="20" spans="2:12" s="296" customFormat="1" ht="30" customHeight="1" x14ac:dyDescent="0.25">
      <c r="B20" s="1841"/>
      <c r="C20" s="1219"/>
      <c r="D20" s="1253"/>
      <c r="E20" s="1253"/>
      <c r="F20" s="1253"/>
      <c r="G20" s="1238"/>
      <c r="H20" s="1841"/>
      <c r="I20" s="1219"/>
      <c r="J20" s="1253"/>
      <c r="K20" s="1253"/>
      <c r="L20" s="1253"/>
    </row>
    <row r="21" spans="2:12" s="296" customFormat="1" ht="30" customHeight="1" x14ac:dyDescent="0.25">
      <c r="B21" s="1841"/>
      <c r="C21" s="1219"/>
      <c r="D21" s="1253"/>
      <c r="E21" s="1253"/>
      <c r="F21" s="1253"/>
      <c r="G21" s="1238"/>
      <c r="H21" s="1841"/>
      <c r="I21" s="1219"/>
      <c r="J21" s="1253"/>
      <c r="K21" s="1253"/>
      <c r="L21" s="1253"/>
    </row>
    <row r="22" spans="2:12" s="296" customFormat="1" ht="30" customHeight="1" x14ac:dyDescent="0.3">
      <c r="B22" s="1238"/>
      <c r="C22" s="1238"/>
      <c r="D22" s="1238"/>
      <c r="E22" s="1238"/>
      <c r="F22" s="1238"/>
      <c r="G22" s="1238"/>
      <c r="H22" s="1238"/>
      <c r="I22" s="1238"/>
      <c r="J22" s="1238"/>
      <c r="K22" s="1238"/>
      <c r="L22" s="1238"/>
    </row>
    <row r="23" spans="2:12" s="296" customFormat="1" ht="30" customHeight="1" x14ac:dyDescent="0.3">
      <c r="B23" s="1238"/>
      <c r="C23" s="1238"/>
      <c r="D23" s="1238"/>
      <c r="E23" s="1238"/>
      <c r="F23" s="1238"/>
      <c r="G23" s="1238"/>
      <c r="H23" s="1238"/>
      <c r="I23" s="1238"/>
      <c r="J23" s="1238"/>
      <c r="K23" s="1238"/>
      <c r="L23" s="1238"/>
    </row>
    <row r="24" spans="2:12" s="296" customFormat="1" ht="30" customHeight="1" x14ac:dyDescent="0.3">
      <c r="B24" s="1840"/>
      <c r="C24" s="1840"/>
      <c r="D24" s="1840"/>
      <c r="E24" s="1840"/>
      <c r="F24" s="1840"/>
      <c r="G24" s="1238"/>
      <c r="H24" s="1840"/>
      <c r="I24" s="1840"/>
      <c r="J24" s="1840"/>
      <c r="K24" s="1840"/>
      <c r="L24" s="1840"/>
    </row>
    <row r="25" spans="2:12" s="296" customFormat="1" ht="30" customHeight="1" x14ac:dyDescent="0.3">
      <c r="B25" s="1252"/>
      <c r="C25" s="1238"/>
      <c r="D25" s="1252"/>
      <c r="E25" s="1252"/>
      <c r="F25" s="1252"/>
      <c r="G25" s="1238"/>
      <c r="H25" s="1252"/>
      <c r="I25" s="1238"/>
      <c r="J25" s="1252"/>
      <c r="K25" s="1252"/>
      <c r="L25" s="1252"/>
    </row>
    <row r="26" spans="2:12" s="296" customFormat="1" ht="30" customHeight="1" x14ac:dyDescent="0.25">
      <c r="B26" s="1841"/>
      <c r="C26" s="1219"/>
      <c r="D26" s="1253"/>
      <c r="E26" s="1253"/>
      <c r="F26" s="1253"/>
      <c r="G26" s="1238"/>
      <c r="H26" s="1841"/>
      <c r="I26" s="1219"/>
      <c r="J26" s="1253"/>
      <c r="K26" s="1253"/>
      <c r="L26" s="1253"/>
    </row>
    <row r="27" spans="2:12" s="296" customFormat="1" ht="30" customHeight="1" x14ac:dyDescent="0.25">
      <c r="B27" s="1841"/>
      <c r="C27" s="297"/>
      <c r="D27" s="298"/>
      <c r="E27" s="298"/>
      <c r="F27" s="298"/>
      <c r="G27" s="1238"/>
      <c r="H27" s="1841"/>
      <c r="I27" s="297"/>
      <c r="J27" s="298"/>
      <c r="K27" s="298"/>
      <c r="L27" s="298"/>
    </row>
    <row r="28" spans="2:12" s="296" customFormat="1" ht="30" customHeight="1" x14ac:dyDescent="0.25">
      <c r="B28" s="1841"/>
      <c r="C28" s="297"/>
      <c r="D28" s="298"/>
      <c r="E28" s="298"/>
      <c r="F28" s="298"/>
      <c r="G28" s="1238"/>
      <c r="H28" s="1841"/>
      <c r="I28" s="297"/>
      <c r="J28" s="298"/>
      <c r="K28" s="298"/>
      <c r="L28" s="298"/>
    </row>
    <row r="29" spans="2:12" s="296" customFormat="1" ht="30" customHeight="1" x14ac:dyDescent="0.25">
      <c r="B29" s="1841"/>
      <c r="C29" s="1219"/>
      <c r="D29" s="1253"/>
      <c r="E29" s="1253"/>
      <c r="F29" s="1253"/>
      <c r="G29" s="1238"/>
      <c r="H29" s="1841"/>
      <c r="I29" s="1219"/>
      <c r="J29" s="1253"/>
      <c r="K29" s="1253"/>
      <c r="L29" s="1253"/>
    </row>
    <row r="30" spans="2:12" s="296" customFormat="1" ht="30" customHeight="1" x14ac:dyDescent="0.25">
      <c r="B30" s="1841"/>
      <c r="C30" s="1219"/>
      <c r="D30" s="1253"/>
      <c r="E30" s="1253"/>
      <c r="F30" s="1253"/>
      <c r="G30" s="1238"/>
      <c r="H30" s="1841"/>
      <c r="I30" s="1219"/>
      <c r="J30" s="1253"/>
      <c r="K30" s="1253"/>
      <c r="L30" s="1253"/>
    </row>
    <row r="31" spans="2:12" s="296" customFormat="1" ht="30" customHeight="1" x14ac:dyDescent="0.25">
      <c r="B31" s="1238"/>
      <c r="C31" s="1254"/>
      <c r="D31" s="1219"/>
      <c r="E31" s="1219"/>
      <c r="F31" s="1219"/>
      <c r="G31" s="1238"/>
      <c r="H31" s="1238"/>
      <c r="I31" s="1238"/>
      <c r="J31" s="1238"/>
      <c r="K31" s="1238"/>
      <c r="L31" s="1238"/>
    </row>
    <row r="32" spans="2:12" s="296" customFormat="1" ht="30" customHeight="1" x14ac:dyDescent="0.25">
      <c r="B32" s="1238"/>
      <c r="C32" s="1238"/>
      <c r="D32" s="1238"/>
      <c r="E32" s="1238"/>
      <c r="F32" s="1238"/>
      <c r="G32" s="1238"/>
      <c r="H32" s="1238"/>
      <c r="I32" s="1238"/>
      <c r="J32" s="1238"/>
      <c r="K32" s="1238"/>
      <c r="L32" s="1238"/>
    </row>
    <row r="33" spans="2:12" s="296" customFormat="1" ht="30" customHeight="1" x14ac:dyDescent="0.25">
      <c r="B33" s="1840"/>
      <c r="C33" s="1840"/>
      <c r="D33" s="1840"/>
      <c r="E33" s="1840"/>
      <c r="F33" s="1840"/>
      <c r="G33" s="1238"/>
      <c r="H33" s="1840"/>
      <c r="I33" s="1840"/>
      <c r="J33" s="1840"/>
      <c r="K33" s="1840"/>
      <c r="L33" s="1840"/>
    </row>
    <row r="34" spans="2:12" s="296" customFormat="1" ht="30" customHeight="1" x14ac:dyDescent="0.25">
      <c r="B34" s="1252"/>
      <c r="C34" s="1238"/>
      <c r="D34" s="1252"/>
      <c r="E34" s="1252"/>
      <c r="F34" s="1252"/>
      <c r="G34" s="1238"/>
      <c r="H34" s="1252"/>
      <c r="I34" s="1238"/>
      <c r="J34" s="1252"/>
      <c r="K34" s="1252"/>
      <c r="L34" s="1252"/>
    </row>
    <row r="35" spans="2:12" s="296" customFormat="1" ht="30" customHeight="1" x14ac:dyDescent="0.25">
      <c r="B35" s="1841"/>
      <c r="C35" s="1219"/>
      <c r="D35" s="1253"/>
      <c r="E35" s="1253"/>
      <c r="F35" s="1253"/>
      <c r="G35" s="1238"/>
      <c r="H35" s="1841"/>
      <c r="I35" s="1219"/>
      <c r="J35" s="1253"/>
      <c r="K35" s="1253"/>
      <c r="L35" s="1253"/>
    </row>
    <row r="36" spans="2:12" s="296" customFormat="1" ht="30" customHeight="1" x14ac:dyDescent="0.25">
      <c r="B36" s="1841"/>
      <c r="C36" s="297"/>
      <c r="D36" s="298"/>
      <c r="E36" s="298"/>
      <c r="F36" s="298"/>
      <c r="G36" s="1238"/>
      <c r="H36" s="1841"/>
      <c r="I36" s="297"/>
      <c r="J36" s="298"/>
      <c r="K36" s="298"/>
      <c r="L36" s="298"/>
    </row>
    <row r="37" spans="2:12" s="296" customFormat="1" ht="30" customHeight="1" x14ac:dyDescent="0.25">
      <c r="B37" s="1841"/>
      <c r="C37" s="297"/>
      <c r="D37" s="298"/>
      <c r="E37" s="298"/>
      <c r="F37" s="298"/>
      <c r="G37" s="1238"/>
      <c r="H37" s="1841"/>
      <c r="I37" s="297"/>
      <c r="J37" s="298"/>
      <c r="K37" s="298"/>
      <c r="L37" s="298"/>
    </row>
    <row r="38" spans="2:12" s="296" customFormat="1" ht="30" customHeight="1" x14ac:dyDescent="0.25">
      <c r="B38" s="1841"/>
      <c r="C38" s="1219"/>
      <c r="D38" s="1253"/>
      <c r="E38" s="1253"/>
      <c r="F38" s="1253"/>
      <c r="G38" s="1238"/>
      <c r="H38" s="1841"/>
      <c r="I38" s="1219"/>
      <c r="J38" s="1253"/>
      <c r="K38" s="1253"/>
      <c r="L38" s="1253"/>
    </row>
    <row r="39" spans="2:12" s="296" customFormat="1" ht="30" customHeight="1" x14ac:dyDescent="0.25">
      <c r="B39" s="1841"/>
      <c r="C39" s="1219"/>
      <c r="D39" s="1253"/>
      <c r="E39" s="1253"/>
      <c r="F39" s="1253"/>
      <c r="G39" s="1238"/>
      <c r="H39" s="1841"/>
      <c r="I39" s="1219"/>
      <c r="J39" s="1253"/>
      <c r="K39" s="1253"/>
      <c r="L39" s="1253"/>
    </row>
    <row r="40" spans="2:12" s="296" customFormat="1" x14ac:dyDescent="0.25">
      <c r="B40" s="1238"/>
      <c r="C40" s="1238"/>
      <c r="D40" s="1238"/>
      <c r="E40" s="1238"/>
      <c r="F40" s="1238"/>
      <c r="G40" s="1238"/>
      <c r="H40" s="1238"/>
      <c r="I40" s="1238"/>
      <c r="J40" s="1238"/>
      <c r="K40" s="1238"/>
      <c r="L40" s="1238"/>
    </row>
    <row r="41" spans="2:12" s="296" customFormat="1" x14ac:dyDescent="0.25">
      <c r="B41" s="1238"/>
      <c r="C41" s="1238"/>
      <c r="D41" s="1238"/>
      <c r="E41" s="1238"/>
      <c r="F41" s="1238"/>
      <c r="G41" s="1238"/>
      <c r="H41" s="1238"/>
      <c r="I41" s="1238"/>
      <c r="J41" s="1238"/>
      <c r="K41" s="1238"/>
      <c r="L41" s="1238"/>
    </row>
    <row r="42" spans="2:12" s="296" customFormat="1" x14ac:dyDescent="0.25">
      <c r="B42" s="1238"/>
      <c r="C42" s="1238"/>
      <c r="D42" s="1238"/>
      <c r="E42" s="1238"/>
      <c r="F42" s="1238"/>
      <c r="G42" s="1238"/>
      <c r="H42" s="1238"/>
      <c r="I42" s="1238"/>
      <c r="J42" s="1238"/>
      <c r="K42" s="1238"/>
      <c r="L42" s="1238"/>
    </row>
    <row r="43" spans="2:12" s="296" customFormat="1" x14ac:dyDescent="0.25">
      <c r="B43" s="1238"/>
      <c r="C43" s="1238"/>
      <c r="D43" s="1238"/>
      <c r="E43" s="1238"/>
      <c r="F43" s="1238"/>
      <c r="G43" s="1238"/>
      <c r="H43" s="1238"/>
      <c r="I43" s="1238"/>
      <c r="J43" s="1238"/>
      <c r="K43" s="1238"/>
      <c r="L43" s="1238"/>
    </row>
    <row r="44" spans="2:12" s="296" customFormat="1" x14ac:dyDescent="0.25">
      <c r="B44" s="1238"/>
      <c r="C44" s="1238"/>
      <c r="D44" s="1238"/>
      <c r="E44" s="1238"/>
      <c r="F44" s="1238"/>
      <c r="G44" s="1238"/>
      <c r="H44" s="1238"/>
      <c r="I44" s="1238"/>
      <c r="J44" s="1238"/>
      <c r="K44" s="1238"/>
      <c r="L44" s="1238"/>
    </row>
  </sheetData>
  <sheetProtection password="CF5C" sheet="1" objects="1" scenarios="1"/>
  <mergeCells count="19">
    <mergeCell ref="N5:O6"/>
    <mergeCell ref="B9:B12"/>
    <mergeCell ref="H9:H12"/>
    <mergeCell ref="A1:C1"/>
    <mergeCell ref="D1:M1"/>
    <mergeCell ref="B3:L4"/>
    <mergeCell ref="B6:F6"/>
    <mergeCell ref="H6:L6"/>
    <mergeCell ref="B33:F33"/>
    <mergeCell ref="H33:L33"/>
    <mergeCell ref="B35:B39"/>
    <mergeCell ref="H35:H39"/>
    <mergeCell ref="B15:F15"/>
    <mergeCell ref="B17:B21"/>
    <mergeCell ref="H17:H21"/>
    <mergeCell ref="B24:F24"/>
    <mergeCell ref="H24:L24"/>
    <mergeCell ref="B26:B30"/>
    <mergeCell ref="H26:H30"/>
  </mergeCells>
  <conditionalFormatting sqref="F7">
    <cfRule type="colorScale" priority="8">
      <colorScale>
        <cfvo type="min"/>
        <cfvo type="max"/>
        <color rgb="FFFF7128"/>
        <color rgb="FF967D00"/>
      </colorScale>
    </cfRule>
  </conditionalFormatting>
  <conditionalFormatting sqref="L7">
    <cfRule type="colorScale" priority="7">
      <colorScale>
        <cfvo type="min"/>
        <cfvo type="max"/>
        <color rgb="FFFF7128"/>
        <color rgb="FF967D00"/>
      </colorScale>
    </cfRule>
  </conditionalFormatting>
  <conditionalFormatting sqref="D11:D12">
    <cfRule type="cellIs" dxfId="9" priority="6" operator="notBetween">
      <formula>$N$8</formula>
      <formula>$O$8</formula>
    </cfRule>
  </conditionalFormatting>
  <conditionalFormatting sqref="E11:E12">
    <cfRule type="cellIs" dxfId="8" priority="5" operator="notBetween">
      <formula>$N$10</formula>
      <formula>$O$10</formula>
    </cfRule>
  </conditionalFormatting>
  <conditionalFormatting sqref="F11:F12">
    <cfRule type="cellIs" dxfId="7" priority="4" operator="notBetween">
      <formula>$N$12</formula>
      <formula>$O$12</formula>
    </cfRule>
  </conditionalFormatting>
  <conditionalFormatting sqref="J11:J12">
    <cfRule type="cellIs" dxfId="6" priority="3" operator="notBetween">
      <formula>$N$8</formula>
      <formula>$O$8</formula>
    </cfRule>
  </conditionalFormatting>
  <conditionalFormatting sqref="K11:K12">
    <cfRule type="cellIs" dxfId="5" priority="2" operator="notBetween">
      <formula>$N$10</formula>
      <formula>$O$10</formula>
    </cfRule>
  </conditionalFormatting>
  <conditionalFormatting sqref="L11:L12">
    <cfRule type="cellIs" dxfId="4" priority="1" operator="notBetween">
      <formula>$N$12</formula>
      <formula>$O$12</formula>
    </cfRule>
  </conditionalFormatting>
  <pageMargins left="0.70866141732283472" right="0.70866141732283472" top="0.74803149606299213" bottom="0.74803149606299213" header="0.31496062992125984" footer="0.31496062992125984"/>
  <pageSetup scale="10" pageOrder="overThenDown" orientation="portrait" r:id="rId1"/>
  <headerFooter>
    <oddFooter>&amp;RRT03-F52 Vr.3 (2023-06-06)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61"/>
  <sheetViews>
    <sheetView showGridLines="0" topLeftCell="B1" zoomScale="80" zoomScaleNormal="80" zoomScaleSheetLayoutView="70" workbookViewId="0">
      <selection activeCell="B24" sqref="B24:L24"/>
    </sheetView>
  </sheetViews>
  <sheetFormatPr baseColWidth="10" defaultColWidth="15.7109375" defaultRowHeight="15" x14ac:dyDescent="0.2"/>
  <cols>
    <col min="1" max="4" width="15.7109375" style="54"/>
    <col min="5" max="5" width="16.85546875" style="54" customWidth="1"/>
    <col min="6" max="7" width="15.7109375" style="54"/>
    <col min="8" max="8" width="17" style="54" customWidth="1"/>
    <col min="9" max="10" width="15.85546875" style="54" bestFit="1" customWidth="1"/>
    <col min="11" max="11" width="16" style="54" bestFit="1" customWidth="1"/>
    <col min="12" max="16384" width="15.7109375" style="54"/>
  </cols>
  <sheetData>
    <row r="1" spans="1:29" s="329" customFormat="1" ht="75" customHeight="1" thickBot="1" x14ac:dyDescent="0.3">
      <c r="A1" s="1732"/>
      <c r="B1" s="1733"/>
      <c r="C1" s="1931"/>
      <c r="D1" s="1932" t="s">
        <v>0</v>
      </c>
      <c r="E1" s="1933"/>
      <c r="F1" s="1933"/>
      <c r="G1" s="1933"/>
      <c r="H1" s="1933"/>
      <c r="I1" s="1933"/>
      <c r="J1" s="1933"/>
      <c r="K1" s="1933"/>
      <c r="L1" s="1933"/>
      <c r="M1" s="1933"/>
      <c r="N1" s="1933"/>
      <c r="O1" s="1933"/>
      <c r="P1" s="1933"/>
      <c r="Q1" s="1933"/>
      <c r="R1" s="1933"/>
      <c r="S1" s="1933"/>
      <c r="T1" s="1933"/>
      <c r="U1" s="1933"/>
      <c r="V1" s="1933"/>
      <c r="W1" s="1934"/>
      <c r="X1" s="1182"/>
      <c r="Y1" s="1182"/>
      <c r="Z1" s="1182"/>
      <c r="AA1" s="1182"/>
      <c r="AB1" s="1182"/>
      <c r="AC1" s="1182"/>
    </row>
    <row r="2" spans="1:29" s="330" customFormat="1" ht="5.0999999999999996" customHeight="1" thickBot="1" x14ac:dyDescent="0.35">
      <c r="A2" s="1255"/>
      <c r="B2" s="1255"/>
      <c r="C2" s="1201"/>
      <c r="D2" s="331"/>
      <c r="E2" s="331"/>
      <c r="F2" s="331"/>
      <c r="G2" s="331"/>
      <c r="H2" s="331"/>
      <c r="I2" s="331"/>
      <c r="J2" s="331"/>
      <c r="K2" s="331"/>
      <c r="L2" s="331"/>
      <c r="M2" s="331"/>
      <c r="N2" s="331"/>
      <c r="O2" s="331"/>
      <c r="P2" s="331"/>
      <c r="Q2" s="331"/>
      <c r="R2" s="331"/>
      <c r="S2" s="1201"/>
      <c r="T2" s="1201"/>
      <c r="U2" s="1201"/>
      <c r="V2" s="1201"/>
      <c r="W2" s="1201"/>
      <c r="X2" s="1201"/>
      <c r="Y2" s="1201"/>
      <c r="Z2" s="1201"/>
      <c r="AA2" s="1201"/>
      <c r="AB2" s="1201"/>
      <c r="AC2" s="1201"/>
    </row>
    <row r="3" spans="1:29" s="330" customFormat="1" ht="39.950000000000003" customHeight="1" thickBot="1" x14ac:dyDescent="0.3">
      <c r="A3" s="1128" t="s">
        <v>406</v>
      </c>
      <c r="B3" s="1131" t="e">
        <f>VLOOKUP(S3,'DATOS ¬'!D7:N9,2,FALSE)</f>
        <v>#N/A</v>
      </c>
      <c r="C3" s="1129" t="s">
        <v>653</v>
      </c>
      <c r="D3" s="1935" t="e">
        <f>VLOOKUP(S3,'DATOS ¬'!D7:N9,3,FALSE)</f>
        <v>#N/A</v>
      </c>
      <c r="E3" s="1935"/>
      <c r="F3" s="1130" t="s">
        <v>408</v>
      </c>
      <c r="G3" s="1936" t="e">
        <f>VLOOKUP(S3,'DATOS ¬'!D7:N9,7,FALSE)</f>
        <v>#N/A</v>
      </c>
      <c r="H3" s="1936"/>
      <c r="I3" s="1130" t="s">
        <v>654</v>
      </c>
      <c r="J3" s="1936" t="e">
        <f>VLOOKUP(S3,'DATOS ¬'!D7:N9,4,FALSE)</f>
        <v>#N/A</v>
      </c>
      <c r="K3" s="1936"/>
      <c r="L3" s="1130" t="s">
        <v>655</v>
      </c>
      <c r="M3" s="1937"/>
      <c r="N3" s="1938"/>
      <c r="O3" s="1130" t="s">
        <v>555</v>
      </c>
      <c r="P3" s="1936" t="e">
        <f>VLOOKUP(S3,'DATOS ¬'!D7:N9,11,FALSE)</f>
        <v>#N/A</v>
      </c>
      <c r="Q3" s="1936"/>
      <c r="R3" s="1939"/>
      <c r="S3" s="2"/>
      <c r="T3" s="1201"/>
      <c r="U3" s="1201"/>
      <c r="V3" s="1201"/>
      <c r="W3" s="1201"/>
      <c r="X3" s="1201"/>
      <c r="Y3" s="1201"/>
      <c r="Z3" s="1201"/>
      <c r="AA3" s="1201"/>
      <c r="AB3" s="1201"/>
      <c r="AC3" s="1201"/>
    </row>
    <row r="4" spans="1:29" s="330" customFormat="1" ht="9.9499999999999993" customHeight="1" x14ac:dyDescent="0.3">
      <c r="A4" s="1201"/>
      <c r="B4" s="1201"/>
      <c r="C4" s="1256"/>
      <c r="D4" s="1201"/>
      <c r="E4" s="1201"/>
      <c r="F4" s="1201"/>
      <c r="G4" s="1201"/>
      <c r="H4" s="1201"/>
      <c r="I4" s="1201"/>
      <c r="J4" s="1201"/>
      <c r="K4" s="1201"/>
      <c r="L4" s="1201"/>
      <c r="M4" s="1201"/>
      <c r="N4" s="1201"/>
      <c r="O4" s="1201"/>
      <c r="P4" s="1201"/>
      <c r="Q4" s="1201"/>
      <c r="R4" s="1201"/>
      <c r="S4" s="1201"/>
      <c r="T4" s="1201"/>
      <c r="U4" s="1201"/>
      <c r="V4" s="1201"/>
      <c r="W4" s="1201"/>
      <c r="X4" s="1201"/>
      <c r="Y4" s="1201"/>
      <c r="Z4" s="1201"/>
      <c r="AA4" s="1201"/>
      <c r="AB4" s="1201"/>
      <c r="AC4" s="1201"/>
    </row>
    <row r="5" spans="1:29" ht="9.9499999999999993" customHeight="1" thickBot="1" x14ac:dyDescent="0.3">
      <c r="A5" s="1257"/>
      <c r="B5" s="1202"/>
      <c r="C5" s="1202"/>
      <c r="D5" s="1202"/>
      <c r="E5" s="1202"/>
      <c r="F5" s="1202"/>
      <c r="G5" s="1202"/>
      <c r="H5" s="1201"/>
      <c r="I5" s="1202"/>
      <c r="J5" s="1201"/>
      <c r="K5" s="1202"/>
      <c r="L5" s="1202"/>
      <c r="M5" s="1202"/>
      <c r="N5" s="1202"/>
      <c r="O5" s="1202"/>
      <c r="P5" s="1258"/>
      <c r="Q5" s="1258"/>
      <c r="R5" s="1258"/>
      <c r="S5" s="1258"/>
      <c r="T5" s="1258"/>
      <c r="U5" s="1258"/>
      <c r="V5" s="1258"/>
      <c r="W5" s="1202"/>
      <c r="X5" s="1258"/>
      <c r="Y5" s="1258"/>
      <c r="Z5" s="1258"/>
      <c r="AA5" s="1258"/>
      <c r="AB5" s="1259"/>
      <c r="AC5" s="1258"/>
    </row>
    <row r="6" spans="1:29" ht="39.950000000000003" customHeight="1" thickBot="1" x14ac:dyDescent="0.25">
      <c r="A6" s="1915" t="s">
        <v>656</v>
      </c>
      <c r="B6" s="1916"/>
      <c r="C6" s="1916"/>
      <c r="D6" s="1916"/>
      <c r="E6" s="1916"/>
      <c r="F6" s="1916"/>
      <c r="G6" s="1916"/>
      <c r="H6" s="1202"/>
      <c r="I6" s="1917" t="s">
        <v>447</v>
      </c>
      <c r="J6" s="1918"/>
      <c r="K6" s="1911"/>
      <c r="L6" s="1912"/>
      <c r="M6" s="1919" t="s">
        <v>657</v>
      </c>
      <c r="N6" s="1920"/>
      <c r="O6" s="1920"/>
      <c r="P6" s="1920"/>
      <c r="Q6" s="1921"/>
      <c r="R6" s="1925" t="s">
        <v>658</v>
      </c>
      <c r="S6" s="1926"/>
      <c r="T6" s="1926"/>
      <c r="U6" s="1926"/>
      <c r="V6" s="1926"/>
      <c r="W6" s="1927"/>
      <c r="X6" s="1202"/>
      <c r="Y6" s="1202"/>
      <c r="Z6" s="1202"/>
      <c r="AA6" s="1202"/>
      <c r="AB6" s="1202"/>
      <c r="AC6" s="1202"/>
    </row>
    <row r="7" spans="1:29" ht="50.25" customHeight="1" thickBot="1" x14ac:dyDescent="0.25">
      <c r="A7" s="1136" t="s">
        <v>659</v>
      </c>
      <c r="B7" s="1137" t="s">
        <v>660</v>
      </c>
      <c r="C7" s="1137" t="s">
        <v>661</v>
      </c>
      <c r="D7" s="1137" t="s">
        <v>662</v>
      </c>
      <c r="E7" s="1137" t="s">
        <v>663</v>
      </c>
      <c r="F7" s="1137" t="s">
        <v>664</v>
      </c>
      <c r="G7" s="1138" t="s">
        <v>599</v>
      </c>
      <c r="H7" s="1202"/>
      <c r="I7" s="1893" t="s">
        <v>448</v>
      </c>
      <c r="J7" s="1894"/>
      <c r="K7" s="333" t="e">
        <f>VLOOKUP(L7,'DATOS ¬'!P9:U12,2,FALSE)</f>
        <v>#N/A</v>
      </c>
      <c r="L7" s="334"/>
      <c r="M7" s="1922"/>
      <c r="N7" s="1923"/>
      <c r="O7" s="1923"/>
      <c r="P7" s="1923"/>
      <c r="Q7" s="1924"/>
      <c r="R7" s="1928"/>
      <c r="S7" s="1929"/>
      <c r="T7" s="1929"/>
      <c r="U7" s="1929"/>
      <c r="V7" s="1929"/>
      <c r="W7" s="1930"/>
      <c r="X7" s="1202"/>
      <c r="Y7" s="1202"/>
      <c r="Z7" s="1202"/>
      <c r="AA7" s="1202"/>
      <c r="AB7" s="1202"/>
      <c r="AC7" s="1202"/>
    </row>
    <row r="8" spans="1:29" ht="39.950000000000003" customHeight="1" thickBot="1" x14ac:dyDescent="0.25">
      <c r="A8" s="1132" t="e">
        <f>'RT03-F52 ¬ '!B34</f>
        <v>#N/A</v>
      </c>
      <c r="B8" s="1260" t="e">
        <f>'RT03-F52 ¬ '!Q35</f>
        <v>#N/A</v>
      </c>
      <c r="C8" s="1260" t="e">
        <f>'RT03-F52 ¬ '!C34</f>
        <v>#N/A</v>
      </c>
      <c r="D8" s="1133" t="e">
        <f>'RT03-F52 ¬ '!E34</f>
        <v>#N/A</v>
      </c>
      <c r="E8" s="1134" t="e">
        <f>'RT03-F52 ¬ '!G34</f>
        <v>#N/A</v>
      </c>
      <c r="F8" s="1135" t="e">
        <f>'RT03-F52 ¬ '!I34</f>
        <v>#N/A</v>
      </c>
      <c r="G8" s="1261" t="e">
        <f>'RT03-F52 ¬ '!O34</f>
        <v>#N/A</v>
      </c>
      <c r="H8" s="1202"/>
      <c r="I8" s="1909" t="s">
        <v>468</v>
      </c>
      <c r="J8" s="1910"/>
      <c r="K8" s="1911"/>
      <c r="L8" s="1912"/>
      <c r="M8" s="1262"/>
      <c r="N8" s="1263"/>
      <c r="O8" s="1263"/>
      <c r="P8" s="1263"/>
      <c r="Q8" s="1263"/>
      <c r="R8" s="1913" t="s">
        <v>665</v>
      </c>
      <c r="S8" s="1895" t="s">
        <v>666</v>
      </c>
      <c r="T8" s="1895" t="s">
        <v>667</v>
      </c>
      <c r="U8" s="1895" t="s">
        <v>668</v>
      </c>
      <c r="V8" s="1895" t="s">
        <v>669</v>
      </c>
      <c r="W8" s="1898" t="s">
        <v>670</v>
      </c>
      <c r="X8" s="1202"/>
      <c r="Y8" s="1202"/>
      <c r="Z8" s="1202"/>
      <c r="AA8" s="1202"/>
      <c r="AB8" s="1202"/>
      <c r="AC8" s="1202"/>
    </row>
    <row r="9" spans="1:29" ht="39.950000000000003" customHeight="1" thickBot="1" x14ac:dyDescent="0.25">
      <c r="A9" s="1257"/>
      <c r="B9" s="1202"/>
      <c r="C9" s="1202"/>
      <c r="D9" s="1257"/>
      <c r="E9" s="1264"/>
      <c r="F9" s="1257"/>
      <c r="G9" s="1202"/>
      <c r="H9" s="1202"/>
      <c r="I9" s="1202"/>
      <c r="J9" s="1202"/>
      <c r="K9" s="1202"/>
      <c r="L9" s="1202"/>
      <c r="M9" s="1265"/>
      <c r="N9" s="1257"/>
      <c r="O9" s="1257"/>
      <c r="P9" s="1257"/>
      <c r="Q9" s="1202"/>
      <c r="R9" s="1914"/>
      <c r="S9" s="1896"/>
      <c r="T9" s="1896"/>
      <c r="U9" s="1896"/>
      <c r="V9" s="1896"/>
      <c r="W9" s="1899"/>
      <c r="X9" s="1202"/>
      <c r="Y9" s="1202"/>
      <c r="Z9" s="1202"/>
      <c r="AA9" s="1202"/>
      <c r="AB9" s="1202"/>
      <c r="AC9" s="1202"/>
    </row>
    <row r="10" spans="1:29" ht="39.950000000000003" customHeight="1" thickBot="1" x14ac:dyDescent="0.25">
      <c r="A10" s="1257"/>
      <c r="B10" s="1890" t="s">
        <v>671</v>
      </c>
      <c r="C10" s="1891"/>
      <c r="D10" s="1891"/>
      <c r="E10" s="1892"/>
      <c r="F10" s="1257"/>
      <c r="G10" s="1202"/>
      <c r="H10" s="1890" t="s">
        <v>672</v>
      </c>
      <c r="I10" s="1892"/>
      <c r="J10" s="1202"/>
      <c r="K10" s="1202"/>
      <c r="L10" s="1202"/>
      <c r="M10" s="1265"/>
      <c r="N10" s="1257"/>
      <c r="O10" s="1257"/>
      <c r="P10" s="1257"/>
      <c r="Q10" s="1257"/>
      <c r="R10" s="1914"/>
      <c r="S10" s="1896"/>
      <c r="T10" s="1897"/>
      <c r="U10" s="1897"/>
      <c r="V10" s="1897"/>
      <c r="W10" s="1900"/>
      <c r="X10" s="1202"/>
      <c r="Y10" s="1202"/>
      <c r="Z10" s="1202"/>
      <c r="AA10" s="1202"/>
      <c r="AB10" s="1202"/>
      <c r="AC10" s="1202"/>
    </row>
    <row r="11" spans="1:29" ht="39.950000000000003" customHeight="1" thickBot="1" x14ac:dyDescent="0.4">
      <c r="A11" s="1257"/>
      <c r="B11" s="1901" t="s">
        <v>673</v>
      </c>
      <c r="C11" s="1902"/>
      <c r="D11" s="1903" t="s">
        <v>674</v>
      </c>
      <c r="E11" s="1904"/>
      <c r="F11" s="1257"/>
      <c r="G11" s="1202"/>
      <c r="H11" s="1266" t="s">
        <v>675</v>
      </c>
      <c r="I11" s="1267" t="s">
        <v>203</v>
      </c>
      <c r="J11" s="1202"/>
      <c r="K11" s="1202"/>
      <c r="L11" s="1202"/>
      <c r="M11" s="5" t="s">
        <v>676</v>
      </c>
      <c r="N11" s="1257"/>
      <c r="O11" s="1257"/>
      <c r="P11" s="1268" t="s">
        <v>677</v>
      </c>
      <c r="Q11" s="1257"/>
      <c r="R11" s="1905" t="e">
        <f>B8</f>
        <v>#N/A</v>
      </c>
      <c r="S11" s="1907" t="e">
        <f>C8</f>
        <v>#N/A</v>
      </c>
      <c r="T11" s="1269"/>
      <c r="U11" s="1270" t="e">
        <f>M19</f>
        <v>#N/A</v>
      </c>
      <c r="V11" s="1270" t="e">
        <f>($S$11-U11)</f>
        <v>#N/A</v>
      </c>
      <c r="W11" s="1271" t="e">
        <f>V11/$D$12</f>
        <v>#N/A</v>
      </c>
      <c r="X11" s="1202"/>
      <c r="Y11" s="1202"/>
      <c r="Z11" s="1202"/>
      <c r="AA11" s="1202"/>
      <c r="AB11" s="1202"/>
      <c r="AC11" s="1202"/>
    </row>
    <row r="12" spans="1:29" ht="39.950000000000003" customHeight="1" thickBot="1" x14ac:dyDescent="0.3">
      <c r="A12" s="1257"/>
      <c r="B12" s="6" t="e">
        <f>VLOOKUP(F12,'DATOS ¬'!AC134:AF139,2,FALSE)</f>
        <v>#N/A</v>
      </c>
      <c r="C12" s="7"/>
      <c r="D12" s="8" t="e">
        <f>VLOOKUP(F12,'DATOS ¬'!AC134:AF139,3,FALSE)</f>
        <v>#N/A</v>
      </c>
      <c r="E12" s="9"/>
      <c r="F12" s="25"/>
      <c r="G12" s="1202"/>
      <c r="H12" s="338" t="e">
        <f>B12</f>
        <v>#N/A</v>
      </c>
      <c r="I12" s="1272" t="e">
        <f>H12*I13</f>
        <v>#N/A</v>
      </c>
      <c r="J12" s="1202"/>
      <c r="K12" s="1202"/>
      <c r="L12" s="1202"/>
      <c r="M12" s="5" t="s">
        <v>678</v>
      </c>
      <c r="N12" s="1268"/>
      <c r="O12" s="1268" t="s">
        <v>677</v>
      </c>
      <c r="P12" s="1268"/>
      <c r="Q12" s="1257"/>
      <c r="R12" s="1905"/>
      <c r="S12" s="1907"/>
      <c r="T12" s="1269"/>
      <c r="U12" s="1270" t="e">
        <f>M20</f>
        <v>#N/A</v>
      </c>
      <c r="V12" s="1270" t="e">
        <f>($S$11-U12)</f>
        <v>#N/A</v>
      </c>
      <c r="W12" s="1271" t="e">
        <f>V12/$D$12</f>
        <v>#N/A</v>
      </c>
      <c r="X12" s="1202"/>
      <c r="Y12" s="1202"/>
      <c r="Z12" s="1202"/>
      <c r="AA12" s="1202"/>
      <c r="AB12" s="1202"/>
      <c r="AC12" s="1202"/>
    </row>
    <row r="13" spans="1:29" ht="39.950000000000003" customHeight="1" thickBot="1" x14ac:dyDescent="0.4">
      <c r="A13" s="1257"/>
      <c r="B13" s="1202"/>
      <c r="C13" s="1202"/>
      <c r="D13" s="1202"/>
      <c r="E13" s="1202"/>
      <c r="F13" s="1257"/>
      <c r="G13" s="1202"/>
      <c r="H13" s="10" t="s">
        <v>679</v>
      </c>
      <c r="I13" s="1272">
        <v>16.387060000000002</v>
      </c>
      <c r="J13" s="1202"/>
      <c r="K13" s="1202"/>
      <c r="L13" s="1202"/>
      <c r="M13" s="11" t="s">
        <v>680</v>
      </c>
      <c r="N13" s="1273" t="s">
        <v>677</v>
      </c>
      <c r="O13" s="1274"/>
      <c r="P13" s="1274"/>
      <c r="Q13" s="12" t="s">
        <v>681</v>
      </c>
      <c r="R13" s="1906"/>
      <c r="S13" s="1908"/>
      <c r="T13" s="1275"/>
      <c r="U13" s="1276" t="e">
        <f>M21</f>
        <v>#N/A</v>
      </c>
      <c r="V13" s="1276" t="e">
        <f>($S$11-U13)</f>
        <v>#N/A</v>
      </c>
      <c r="W13" s="1277" t="e">
        <f>V13/$D$12</f>
        <v>#N/A</v>
      </c>
      <c r="X13" s="1202"/>
      <c r="Y13" s="1202"/>
      <c r="Z13" s="1202"/>
      <c r="AA13" s="1202"/>
      <c r="AB13" s="1202"/>
      <c r="AC13" s="1202"/>
    </row>
    <row r="14" spans="1:29" s="332" customFormat="1" ht="39.950000000000003" customHeight="1" thickBot="1" x14ac:dyDescent="0.45">
      <c r="A14" s="1257"/>
      <c r="B14" s="1257"/>
      <c r="C14" s="1257"/>
      <c r="D14" s="1257"/>
      <c r="E14" s="1257"/>
      <c r="F14" s="1257"/>
      <c r="G14" s="1257"/>
      <c r="H14" s="1257"/>
      <c r="I14" s="1257"/>
      <c r="J14" s="1257"/>
      <c r="K14" s="1257"/>
      <c r="L14" s="1257"/>
      <c r="M14" s="1278"/>
      <c r="N14" s="13" t="s">
        <v>682</v>
      </c>
      <c r="O14" s="13" t="s">
        <v>681</v>
      </c>
      <c r="P14" s="13" t="s">
        <v>683</v>
      </c>
      <c r="Q14" s="1279"/>
      <c r="R14" s="1257"/>
      <c r="S14" s="1257"/>
      <c r="T14" s="1257"/>
      <c r="U14" s="14" t="s">
        <v>684</v>
      </c>
      <c r="V14" s="1260" t="e">
        <f>AVERAGE(V11:V13)</f>
        <v>#N/A</v>
      </c>
      <c r="W14" s="1280" t="e">
        <f>AVERAGE(W11:W13)</f>
        <v>#N/A</v>
      </c>
      <c r="X14" s="1257"/>
      <c r="Y14" s="1257"/>
      <c r="Z14" s="1257"/>
      <c r="AA14" s="1257"/>
      <c r="AB14" s="1257"/>
      <c r="AC14" s="1257"/>
    </row>
    <row r="15" spans="1:29" ht="39.950000000000003" customHeight="1" thickBot="1" x14ac:dyDescent="0.3">
      <c r="A15" s="1257"/>
      <c r="B15" s="1202"/>
      <c r="C15" s="1202"/>
      <c r="D15" s="1257"/>
      <c r="E15" s="1257"/>
      <c r="F15" s="1257"/>
      <c r="G15" s="1202"/>
      <c r="H15" s="1202"/>
      <c r="I15" s="1202"/>
      <c r="J15" s="1202"/>
      <c r="K15" s="1202"/>
      <c r="L15" s="1202"/>
      <c r="M15" s="1202"/>
      <c r="N15" s="1202"/>
      <c r="O15" s="1202"/>
      <c r="P15" s="1202"/>
      <c r="Q15" s="1202"/>
      <c r="R15" s="1202"/>
      <c r="S15" s="1257"/>
      <c r="T15" s="1257"/>
      <c r="U15" s="15"/>
      <c r="V15" s="1276" t="e">
        <f>STDEVA(V11:V13)</f>
        <v>#N/A</v>
      </c>
      <c r="W15" s="1281" t="e">
        <f>_xlfn.STDEV.S(W11:W13)</f>
        <v>#N/A</v>
      </c>
      <c r="X15" s="1202"/>
      <c r="Y15" s="1202"/>
      <c r="Z15" s="1202"/>
      <c r="AA15" s="1202"/>
      <c r="AB15" s="1202"/>
      <c r="AC15" s="1202"/>
    </row>
    <row r="16" spans="1:29" ht="39.950000000000003" customHeight="1" thickBot="1" x14ac:dyDescent="0.3">
      <c r="A16" s="1257"/>
      <c r="B16" s="1202"/>
      <c r="C16" s="1202"/>
      <c r="D16" s="1202"/>
      <c r="E16" s="1202"/>
      <c r="F16" s="1202"/>
      <c r="G16" s="1202"/>
      <c r="H16" s="1202"/>
      <c r="I16" s="1202"/>
      <c r="J16" s="1202"/>
      <c r="K16" s="1202"/>
      <c r="L16" s="1202"/>
      <c r="M16" s="1202"/>
      <c r="N16" s="1202"/>
      <c r="O16" s="1202"/>
      <c r="P16" s="1202"/>
      <c r="Q16" s="1202"/>
      <c r="R16" s="1202"/>
      <c r="S16" s="1202"/>
      <c r="T16" s="1202"/>
      <c r="U16" s="16"/>
      <c r="V16" s="1276" t="e">
        <f>V15/SQRT(3)</f>
        <v>#N/A</v>
      </c>
      <c r="W16" s="1282" t="e">
        <f>W15/SQRT(3)</f>
        <v>#N/A</v>
      </c>
      <c r="X16" s="1202"/>
      <c r="Y16" s="1202"/>
      <c r="Z16" s="1202"/>
      <c r="AA16" s="1202"/>
      <c r="AB16" s="1202"/>
      <c r="AC16" s="1202"/>
    </row>
    <row r="17" spans="1:29" ht="49.5" customHeight="1" thickBot="1" x14ac:dyDescent="0.25">
      <c r="A17" s="1257"/>
      <c r="B17" s="1879" t="s">
        <v>685</v>
      </c>
      <c r="C17" s="1880"/>
      <c r="D17" s="1880"/>
      <c r="E17" s="1880"/>
      <c r="F17" s="1881"/>
      <c r="G17" s="1882" t="s">
        <v>686</v>
      </c>
      <c r="H17" s="1883"/>
      <c r="I17" s="1883"/>
      <c r="J17" s="1883"/>
      <c r="K17" s="1884"/>
      <c r="L17" s="1202"/>
      <c r="M17" s="1202"/>
      <c r="N17" s="1202"/>
      <c r="O17" s="1202"/>
      <c r="P17" s="1202"/>
      <c r="Q17" s="1202"/>
      <c r="R17" s="1202"/>
      <c r="S17" s="1202"/>
      <c r="T17" s="1257"/>
      <c r="U17" s="1257"/>
      <c r="V17" s="1257"/>
      <c r="W17" s="1202"/>
      <c r="X17" s="1202"/>
      <c r="Y17" s="1202"/>
      <c r="Z17" s="1202"/>
      <c r="AA17" s="1202"/>
      <c r="AB17" s="1202"/>
      <c r="AC17" s="1283"/>
    </row>
    <row r="18" spans="1:29" ht="39.950000000000003" customHeight="1" thickBot="1" x14ac:dyDescent="0.3">
      <c r="A18" s="1257"/>
      <c r="B18" s="1284" t="s">
        <v>434</v>
      </c>
      <c r="C18" s="1285" t="s">
        <v>687</v>
      </c>
      <c r="D18" s="1285" t="s">
        <v>688</v>
      </c>
      <c r="E18" s="1285" t="s">
        <v>689</v>
      </c>
      <c r="F18" s="1286" t="s">
        <v>690</v>
      </c>
      <c r="G18" s="300" t="s">
        <v>415</v>
      </c>
      <c r="H18" s="299" t="s">
        <v>691</v>
      </c>
      <c r="I18" s="299" t="s">
        <v>692</v>
      </c>
      <c r="J18" s="299" t="s">
        <v>693</v>
      </c>
      <c r="K18" s="31" t="s">
        <v>694</v>
      </c>
      <c r="L18" s="302" t="s">
        <v>695</v>
      </c>
      <c r="M18" s="299" t="s">
        <v>696</v>
      </c>
      <c r="N18" s="32" t="s">
        <v>697</v>
      </c>
      <c r="O18" s="1139" t="e">
        <f>(O21-O20)/(N21-N20)</f>
        <v>#N/A</v>
      </c>
      <c r="P18" s="1257"/>
      <c r="Q18" s="1287"/>
      <c r="R18" s="1274"/>
      <c r="S18" s="1202"/>
      <c r="T18" s="1202"/>
      <c r="U18" s="1202"/>
      <c r="V18" s="33"/>
      <c r="W18" s="1288" t="e">
        <f>AVERAGE(T11:T13)</f>
        <v>#DIV/0!</v>
      </c>
      <c r="X18" s="1202"/>
      <c r="Y18" s="1202"/>
      <c r="Z18" s="1202"/>
      <c r="AA18" s="1202"/>
      <c r="AB18" s="1202"/>
      <c r="AC18" s="1283"/>
    </row>
    <row r="19" spans="1:29" s="332" customFormat="1" ht="49.5" customHeight="1" x14ac:dyDescent="0.2">
      <c r="A19" s="1257"/>
      <c r="B19" s="17" t="s">
        <v>698</v>
      </c>
      <c r="C19" s="1289">
        <v>2.7</v>
      </c>
      <c r="D19" s="1289">
        <v>2.7</v>
      </c>
      <c r="E19" s="1289">
        <v>2.7</v>
      </c>
      <c r="F19" s="1290">
        <f>AVERAGE(C19:E19)</f>
        <v>2.7000000000000006</v>
      </c>
      <c r="G19" s="30" t="s">
        <v>699</v>
      </c>
      <c r="H19" s="1291">
        <v>3.7854100000000002</v>
      </c>
      <c r="I19" s="1291">
        <f>(H19/H21)*1000</f>
        <v>3785.4100000000003</v>
      </c>
      <c r="J19" s="1291">
        <f>(I19*I22)/I20</f>
        <v>230.99994751956731</v>
      </c>
      <c r="K19" s="37">
        <v>5</v>
      </c>
      <c r="L19" s="1292">
        <f>T11</f>
        <v>0</v>
      </c>
      <c r="M19" s="1293" t="e">
        <f>($O$21+$O$18*(L19-$N$21))</f>
        <v>#N/A</v>
      </c>
      <c r="N19" s="36" t="s">
        <v>622</v>
      </c>
      <c r="O19" s="36" t="s">
        <v>700</v>
      </c>
      <c r="P19" s="27" t="s">
        <v>701</v>
      </c>
      <c r="Q19" s="1885" t="s">
        <v>702</v>
      </c>
      <c r="R19" s="1885"/>
      <c r="S19" s="1872"/>
      <c r="T19" s="1257"/>
      <c r="U19" s="1257"/>
      <c r="V19" s="34"/>
      <c r="W19" s="1294" t="e">
        <f>(I12/D12)/SQRT(3)</f>
        <v>#N/A</v>
      </c>
      <c r="X19" s="1257"/>
      <c r="Y19" s="1257"/>
      <c r="Z19" s="1257"/>
      <c r="AA19" s="1257"/>
      <c r="AB19" s="1257"/>
      <c r="AC19" s="1257"/>
    </row>
    <row r="20" spans="1:29" s="332" customFormat="1" ht="39.950000000000003" customHeight="1" thickBot="1" x14ac:dyDescent="0.25">
      <c r="A20" s="1257"/>
      <c r="B20" s="10" t="s">
        <v>703</v>
      </c>
      <c r="C20" s="1295">
        <v>2.69</v>
      </c>
      <c r="D20" s="1296">
        <v>2.69</v>
      </c>
      <c r="E20" s="1296">
        <v>2.57</v>
      </c>
      <c r="F20" s="1297">
        <f>AVERAGE(C20:E20)</f>
        <v>2.65</v>
      </c>
      <c r="G20" s="18" t="s">
        <v>693</v>
      </c>
      <c r="H20" s="1298">
        <v>1.6387059999999998E-2</v>
      </c>
      <c r="I20" s="1298">
        <f>(H20/H21)*I21</f>
        <v>16.387059999999998</v>
      </c>
      <c r="J20" s="1298">
        <v>1</v>
      </c>
      <c r="K20" s="1290">
        <f>J19*K19</f>
        <v>1154.9997375978367</v>
      </c>
      <c r="L20" s="1299">
        <f>T12</f>
        <v>0</v>
      </c>
      <c r="M20" s="1270" t="e">
        <f>($O$21+$O$18*(L20-$N$21))</f>
        <v>#N/A</v>
      </c>
      <c r="N20" s="26" t="e">
        <f>'RT03-F52 ¬ '!Q34</f>
        <v>#N/A</v>
      </c>
      <c r="O20" s="26" t="e">
        <f>'RT03-F52 ¬ '!R34</f>
        <v>#N/A</v>
      </c>
      <c r="P20" s="28" t="e">
        <f>(O20-N20)</f>
        <v>#N/A</v>
      </c>
      <c r="Q20" s="1886"/>
      <c r="R20" s="1886"/>
      <c r="S20" s="1887"/>
      <c r="T20" s="1257"/>
      <c r="U20" s="1257"/>
      <c r="V20" s="35"/>
      <c r="W20" s="1282" t="e">
        <f>(I12/D12)/SQRT(3)</f>
        <v>#N/A</v>
      </c>
      <c r="X20" s="1257"/>
      <c r="Y20" s="1257"/>
      <c r="Z20" s="1257"/>
      <c r="AA20" s="1257"/>
      <c r="AB20" s="1257"/>
      <c r="AC20" s="1257"/>
    </row>
    <row r="21" spans="1:29" s="332" customFormat="1" ht="49.5" customHeight="1" thickBot="1" x14ac:dyDescent="0.25">
      <c r="A21" s="1257"/>
      <c r="B21" s="20" t="s">
        <v>704</v>
      </c>
      <c r="C21" s="1300">
        <f>F19-F20</f>
        <v>5.0000000000000711E-2</v>
      </c>
      <c r="D21" s="1262"/>
      <c r="E21" s="1263"/>
      <c r="F21" s="1263"/>
      <c r="G21" s="18" t="s">
        <v>705</v>
      </c>
      <c r="H21" s="1298">
        <v>1</v>
      </c>
      <c r="I21" s="1298">
        <v>1000</v>
      </c>
      <c r="J21" s="1298">
        <f>H20</f>
        <v>1.6387059999999998E-2</v>
      </c>
      <c r="K21" s="1290">
        <f>K19*H19</f>
        <v>18.927050000000001</v>
      </c>
      <c r="L21" s="1301">
        <f>T13</f>
        <v>0</v>
      </c>
      <c r="M21" s="1276" t="e">
        <f>($O$21+$O$18*(L21-$N$21))</f>
        <v>#N/A</v>
      </c>
      <c r="N21" s="29" t="e">
        <f>'RT03-F52 ¬ '!Q35</f>
        <v>#N/A</v>
      </c>
      <c r="O21" s="339" t="e">
        <f>'RT03-F52 ¬ '!R35</f>
        <v>#N/A</v>
      </c>
      <c r="P21" s="340" t="e">
        <f>(O21-N21)</f>
        <v>#N/A</v>
      </c>
      <c r="Q21" s="1888" t="e">
        <f>ABS(P21-P20)/12^0.5</f>
        <v>#N/A</v>
      </c>
      <c r="R21" s="1888"/>
      <c r="S21" s="1889"/>
      <c r="T21" s="1257"/>
      <c r="U21" s="1257"/>
      <c r="V21" s="1257"/>
      <c r="W21" s="1257"/>
      <c r="X21" s="1257"/>
      <c r="Y21" s="1257"/>
      <c r="Z21" s="1257"/>
      <c r="AA21" s="1257"/>
      <c r="AB21" s="1257"/>
      <c r="AC21" s="1257"/>
    </row>
    <row r="22" spans="1:29" s="332" customFormat="1" ht="39.950000000000003" customHeight="1" thickBot="1" x14ac:dyDescent="0.25">
      <c r="A22" s="1257"/>
      <c r="B22" s="21" t="s">
        <v>706</v>
      </c>
      <c r="C22" s="1302">
        <f>I13*((F19-F20)/((SQRT(12)*F19)))</f>
        <v>8.7602532428024835E-2</v>
      </c>
      <c r="D22" s="1303"/>
      <c r="E22" s="1274"/>
      <c r="F22" s="1274"/>
      <c r="G22" s="19" t="s">
        <v>707</v>
      </c>
      <c r="H22" s="1304">
        <v>1E-3</v>
      </c>
      <c r="I22" s="1304">
        <v>1</v>
      </c>
      <c r="J22" s="1304">
        <f>I20</f>
        <v>16.387059999999998</v>
      </c>
      <c r="K22" s="1305">
        <f>K19*I19</f>
        <v>18927.050000000003</v>
      </c>
      <c r="L22" s="1257"/>
      <c r="M22" s="1257"/>
      <c r="N22" s="1257"/>
      <c r="O22" s="1257"/>
      <c r="P22" s="1257"/>
      <c r="Q22" s="1257"/>
      <c r="R22" s="1257"/>
      <c r="S22" s="1257"/>
      <c r="T22" s="1257"/>
      <c r="U22" s="1257"/>
      <c r="V22" s="1257"/>
      <c r="W22" s="1257"/>
      <c r="X22" s="1257"/>
      <c r="Y22" s="1257"/>
      <c r="Z22" s="1257"/>
      <c r="AA22" s="1257"/>
      <c r="AB22" s="1257"/>
      <c r="AC22" s="1257"/>
    </row>
    <row r="23" spans="1:29" s="332" customFormat="1" ht="39.950000000000003" customHeight="1" thickBot="1" x14ac:dyDescent="0.25">
      <c r="A23" s="1257"/>
      <c r="B23" s="335"/>
      <c r="C23" s="1257"/>
      <c r="D23" s="331"/>
      <c r="E23" s="331"/>
      <c r="F23" s="1306"/>
      <c r="G23" s="1257"/>
      <c r="H23" s="1257"/>
      <c r="I23" s="1257"/>
      <c r="J23" s="1257"/>
      <c r="K23" s="1257"/>
      <c r="L23" s="1257"/>
      <c r="M23" s="1257"/>
      <c r="N23" s="1257"/>
      <c r="O23" s="1257"/>
      <c r="P23" s="1257"/>
      <c r="Q23" s="1257"/>
      <c r="R23" s="1257"/>
      <c r="S23" s="1257"/>
      <c r="T23" s="1257"/>
      <c r="U23" s="1257"/>
      <c r="V23" s="1257"/>
      <c r="W23" s="1257"/>
      <c r="X23" s="1257"/>
      <c r="Y23" s="1257"/>
      <c r="Z23" s="1257"/>
      <c r="AA23" s="1257"/>
      <c r="AB23" s="1257"/>
      <c r="AC23" s="1257"/>
    </row>
    <row r="24" spans="1:29" s="332" customFormat="1" ht="39.950000000000003" customHeight="1" thickBot="1" x14ac:dyDescent="0.25">
      <c r="A24" s="1257"/>
      <c r="B24" s="1890" t="s">
        <v>708</v>
      </c>
      <c r="C24" s="1891"/>
      <c r="D24" s="1891"/>
      <c r="E24" s="1891"/>
      <c r="F24" s="1891"/>
      <c r="G24" s="1891"/>
      <c r="H24" s="1891"/>
      <c r="I24" s="1891"/>
      <c r="J24" s="1891"/>
      <c r="K24" s="1891"/>
      <c r="L24" s="1892"/>
      <c r="M24" s="1257"/>
      <c r="N24" s="1257"/>
      <c r="O24" s="1257"/>
      <c r="P24" s="1257"/>
      <c r="Q24" s="1257"/>
      <c r="R24" s="1257"/>
      <c r="S24" s="1257"/>
      <c r="T24" s="1257"/>
      <c r="U24" s="1257"/>
      <c r="V24" s="1257"/>
      <c r="W24" s="1257"/>
      <c r="X24" s="1257"/>
      <c r="Y24" s="1257"/>
      <c r="Z24" s="1257"/>
      <c r="AA24" s="1257"/>
      <c r="AB24" s="1257"/>
      <c r="AC24" s="1257"/>
    </row>
    <row r="25" spans="1:29" s="329" customFormat="1" ht="39.950000000000003" customHeight="1" thickBot="1" x14ac:dyDescent="0.3">
      <c r="A25" s="1201"/>
      <c r="B25" s="1307"/>
      <c r="C25" s="1179"/>
      <c r="D25" s="1179"/>
      <c r="E25" s="1179"/>
      <c r="F25" s="1179"/>
      <c r="G25" s="1179"/>
      <c r="H25" s="1179"/>
      <c r="I25" s="1179"/>
      <c r="J25" s="1179"/>
      <c r="K25" s="39" t="s">
        <v>709</v>
      </c>
      <c r="L25" s="40" t="s">
        <v>415</v>
      </c>
      <c r="M25" s="1182"/>
      <c r="N25" s="1182"/>
      <c r="O25" s="1182"/>
      <c r="P25" s="1182"/>
      <c r="Q25" s="1182"/>
      <c r="R25" s="1182"/>
      <c r="S25" s="1182"/>
      <c r="T25" s="1182"/>
      <c r="U25" s="1182"/>
      <c r="V25" s="1182"/>
      <c r="W25" s="1182"/>
      <c r="X25" s="1182"/>
      <c r="Y25" s="1182"/>
      <c r="Z25" s="1182"/>
      <c r="AA25" s="1182"/>
      <c r="AB25" s="1182"/>
      <c r="AC25" s="1182"/>
    </row>
    <row r="26" spans="1:29" s="330" customFormat="1" ht="39.950000000000003" customHeight="1" thickBot="1" x14ac:dyDescent="0.3">
      <c r="A26" s="1201"/>
      <c r="B26" s="1308" t="s">
        <v>710</v>
      </c>
      <c r="C26" s="1309"/>
      <c r="D26" s="1309"/>
      <c r="E26" s="1309"/>
      <c r="F26" s="1309"/>
      <c r="G26" s="1310"/>
      <c r="H26" s="1310"/>
      <c r="I26" s="1310"/>
      <c r="J26" s="1311"/>
      <c r="K26" s="1312" t="e">
        <f>1/(D12)</f>
        <v>#N/A</v>
      </c>
      <c r="L26" s="1313" t="s">
        <v>203</v>
      </c>
      <c r="M26" s="1201"/>
      <c r="N26" s="1201"/>
      <c r="O26" s="1201"/>
      <c r="P26" s="1201"/>
      <c r="Q26" s="1201"/>
      <c r="R26" s="1201"/>
      <c r="S26" s="1201"/>
      <c r="T26" s="1201"/>
      <c r="U26" s="1201"/>
      <c r="V26" s="1201"/>
      <c r="W26" s="1201"/>
      <c r="X26" s="1201"/>
      <c r="Y26" s="1201"/>
      <c r="Z26" s="1201"/>
      <c r="AA26" s="1201"/>
      <c r="AB26" s="1201"/>
      <c r="AC26" s="1201"/>
    </row>
    <row r="27" spans="1:29" s="329" customFormat="1" ht="5.0999999999999996" customHeight="1" thickBot="1" x14ac:dyDescent="0.3">
      <c r="A27" s="1201"/>
      <c r="B27" s="1314"/>
      <c r="C27" s="1315"/>
      <c r="D27" s="1315"/>
      <c r="E27" s="1315"/>
      <c r="F27" s="1315"/>
      <c r="G27" s="1316"/>
      <c r="H27" s="1316"/>
      <c r="I27" s="1316"/>
      <c r="J27" s="1316"/>
      <c r="K27" s="1317"/>
      <c r="L27" s="1140"/>
      <c r="M27" s="1182"/>
      <c r="N27" s="1182"/>
      <c r="O27" s="1182"/>
      <c r="P27" s="1182"/>
      <c r="Q27" s="1182"/>
      <c r="R27" s="1182"/>
      <c r="S27" s="1182"/>
      <c r="T27" s="1182"/>
      <c r="U27" s="1182"/>
      <c r="V27" s="1182"/>
      <c r="W27" s="1182"/>
      <c r="X27" s="1182"/>
      <c r="Y27" s="1182"/>
      <c r="Z27" s="1182"/>
      <c r="AA27" s="1182"/>
      <c r="AB27" s="1182"/>
      <c r="AC27" s="1182"/>
    </row>
    <row r="28" spans="1:29" s="330" customFormat="1" ht="39.950000000000003" customHeight="1" thickBot="1" x14ac:dyDescent="0.3">
      <c r="A28" s="1201"/>
      <c r="B28" s="1308" t="s">
        <v>711</v>
      </c>
      <c r="C28" s="1309"/>
      <c r="D28" s="1309"/>
      <c r="E28" s="1309"/>
      <c r="F28" s="1309"/>
      <c r="G28" s="1310"/>
      <c r="H28" s="1310"/>
      <c r="I28" s="1310"/>
      <c r="J28" s="1311"/>
      <c r="K28" s="1312" t="e">
        <f>-1/(D12)</f>
        <v>#N/A</v>
      </c>
      <c r="L28" s="1313" t="s">
        <v>203</v>
      </c>
      <c r="M28" s="1201"/>
      <c r="N28" s="1201"/>
      <c r="O28" s="1201"/>
      <c r="P28" s="1201"/>
      <c r="Q28" s="1201"/>
      <c r="R28" s="1201"/>
      <c r="S28" s="1201"/>
      <c r="T28" s="1201"/>
      <c r="U28" s="1201"/>
      <c r="V28" s="1201"/>
      <c r="W28" s="1201"/>
      <c r="X28" s="1201"/>
      <c r="Y28" s="1201"/>
      <c r="Z28" s="1201"/>
      <c r="AA28" s="1201"/>
      <c r="AB28" s="1201"/>
      <c r="AC28" s="1201"/>
    </row>
    <row r="29" spans="1:29" s="329" customFormat="1" ht="5.0999999999999996" customHeight="1" thickBot="1" x14ac:dyDescent="0.3">
      <c r="A29" s="1201"/>
      <c r="B29" s="1314"/>
      <c r="C29" s="1315"/>
      <c r="D29" s="1315"/>
      <c r="E29" s="1315"/>
      <c r="F29" s="1315"/>
      <c r="G29" s="1316"/>
      <c r="H29" s="1316"/>
      <c r="I29" s="1316"/>
      <c r="J29" s="1316"/>
      <c r="K29" s="1317"/>
      <c r="L29" s="1318"/>
      <c r="M29" s="1182"/>
      <c r="N29" s="1182"/>
      <c r="O29" s="1182"/>
      <c r="P29" s="1182"/>
      <c r="Q29" s="1182"/>
      <c r="R29" s="1182"/>
      <c r="S29" s="1182"/>
      <c r="T29" s="1182"/>
      <c r="U29" s="1182"/>
      <c r="V29" s="1182"/>
      <c r="W29" s="1182"/>
      <c r="X29" s="1182"/>
      <c r="Y29" s="1182"/>
      <c r="Z29" s="1182"/>
      <c r="AA29" s="1182"/>
      <c r="AB29" s="1182"/>
      <c r="AC29" s="1182"/>
    </row>
    <row r="30" spans="1:29" s="330" customFormat="1" ht="39.950000000000003" customHeight="1" thickBot="1" x14ac:dyDescent="0.3">
      <c r="A30" s="1201"/>
      <c r="B30" s="1308" t="s">
        <v>711</v>
      </c>
      <c r="C30" s="1309"/>
      <c r="D30" s="1309"/>
      <c r="E30" s="1309"/>
      <c r="F30" s="1309"/>
      <c r="G30" s="1310"/>
      <c r="H30" s="1310"/>
      <c r="I30" s="1310"/>
      <c r="J30" s="1311"/>
      <c r="K30" s="1312" t="e">
        <f>1/(D12)</f>
        <v>#N/A</v>
      </c>
      <c r="L30" s="1313" t="s">
        <v>203</v>
      </c>
      <c r="M30" s="1201"/>
      <c r="N30" s="1201"/>
      <c r="O30" s="1201"/>
      <c r="P30" s="1201"/>
      <c r="Q30" s="1201"/>
      <c r="R30" s="1201"/>
      <c r="S30" s="1201"/>
      <c r="T30" s="1201"/>
      <c r="U30" s="1201"/>
      <c r="V30" s="1201"/>
      <c r="W30" s="1201"/>
      <c r="X30" s="1201"/>
      <c r="Y30" s="1201"/>
      <c r="Z30" s="1201"/>
      <c r="AA30" s="1201"/>
      <c r="AB30" s="1201"/>
      <c r="AC30" s="1201"/>
    </row>
    <row r="31" spans="1:29" s="329" customFormat="1" ht="5.0999999999999996" customHeight="1" thickBot="1" x14ac:dyDescent="0.3">
      <c r="A31" s="1201"/>
      <c r="B31" s="1319"/>
      <c r="C31" s="1315"/>
      <c r="D31" s="1315"/>
      <c r="E31" s="1315"/>
      <c r="F31" s="1315"/>
      <c r="G31" s="1316"/>
      <c r="H31" s="1316"/>
      <c r="I31" s="1316"/>
      <c r="J31" s="1316"/>
      <c r="K31" s="1320"/>
      <c r="L31" s="1318"/>
      <c r="M31" s="1255"/>
      <c r="N31" s="1201"/>
      <c r="O31" s="1201"/>
      <c r="P31" s="1201"/>
      <c r="Q31" s="1201"/>
      <c r="R31" s="1201"/>
      <c r="S31" s="1182"/>
      <c r="T31" s="1182"/>
      <c r="U31" s="1182"/>
      <c r="V31" s="1182"/>
      <c r="W31" s="1182"/>
      <c r="X31" s="1182"/>
      <c r="Y31" s="1182"/>
      <c r="Z31" s="1182"/>
      <c r="AA31" s="1182"/>
      <c r="AB31" s="1182"/>
      <c r="AC31" s="1182"/>
    </row>
    <row r="32" spans="1:29" s="330" customFormat="1" ht="39.950000000000003" customHeight="1" thickBot="1" x14ac:dyDescent="0.3">
      <c r="A32" s="1201"/>
      <c r="B32" s="1308" t="s">
        <v>711</v>
      </c>
      <c r="C32" s="1309"/>
      <c r="D32" s="1309"/>
      <c r="E32" s="1309"/>
      <c r="F32" s="1309"/>
      <c r="G32" s="1310"/>
      <c r="H32" s="1310"/>
      <c r="I32" s="1310"/>
      <c r="J32" s="1311"/>
      <c r="K32" s="1312" t="e">
        <f>K30</f>
        <v>#N/A</v>
      </c>
      <c r="L32" s="1313" t="s">
        <v>203</v>
      </c>
      <c r="M32" s="1201"/>
      <c r="N32" s="1201"/>
      <c r="O32" s="1201"/>
      <c r="P32" s="1201"/>
      <c r="Q32" s="1201"/>
      <c r="R32" s="1201"/>
      <c r="S32" s="1201"/>
      <c r="T32" s="1201"/>
      <c r="U32" s="1201"/>
      <c r="V32" s="1201"/>
      <c r="W32" s="1201"/>
      <c r="X32" s="1201"/>
      <c r="Y32" s="1201"/>
      <c r="Z32" s="1201"/>
      <c r="AA32" s="1201"/>
      <c r="AB32" s="1201"/>
      <c r="AC32" s="1201"/>
    </row>
    <row r="33" spans="1:18" s="329" customFormat="1" ht="5.0999999999999996" customHeight="1" thickBot="1" x14ac:dyDescent="0.3">
      <c r="A33" s="1201"/>
      <c r="B33" s="1314"/>
      <c r="C33" s="1315"/>
      <c r="D33" s="1315"/>
      <c r="E33" s="1315"/>
      <c r="F33" s="1315"/>
      <c r="G33" s="1316"/>
      <c r="H33" s="1316"/>
      <c r="I33" s="1316"/>
      <c r="J33" s="1316"/>
      <c r="K33" s="1320"/>
      <c r="L33" s="1318"/>
      <c r="M33" s="1255"/>
      <c r="N33" s="1201"/>
      <c r="O33" s="1201"/>
      <c r="P33" s="1201"/>
      <c r="Q33" s="1201"/>
      <c r="R33" s="1201"/>
    </row>
    <row r="34" spans="1:18" s="330" customFormat="1" ht="39.950000000000003" customHeight="1" thickBot="1" x14ac:dyDescent="0.3">
      <c r="A34" s="1201"/>
      <c r="B34" s="1308" t="s">
        <v>711</v>
      </c>
      <c r="C34" s="1309"/>
      <c r="D34" s="1309"/>
      <c r="E34" s="1309"/>
      <c r="F34" s="1309"/>
      <c r="G34" s="1310"/>
      <c r="H34" s="1310"/>
      <c r="I34" s="1310"/>
      <c r="J34" s="1311"/>
      <c r="K34" s="1312">
        <v>1</v>
      </c>
      <c r="L34" s="1313" t="s">
        <v>203</v>
      </c>
      <c r="M34" s="1201"/>
      <c r="N34" s="1201"/>
      <c r="O34" s="1201"/>
      <c r="P34" s="1201"/>
      <c r="Q34" s="1201"/>
      <c r="R34" s="1201"/>
    </row>
    <row r="35" spans="1:18" s="329" customFormat="1" ht="5.0999999999999996" customHeight="1" thickBot="1" x14ac:dyDescent="0.3">
      <c r="A35" s="1201"/>
      <c r="B35" s="1319"/>
      <c r="C35" s="1316"/>
      <c r="D35" s="1316"/>
      <c r="E35" s="1316"/>
      <c r="F35" s="1316"/>
      <c r="G35" s="1316"/>
      <c r="H35" s="1316"/>
      <c r="I35" s="1316"/>
      <c r="J35" s="1316"/>
      <c r="K35" s="1321"/>
      <c r="L35" s="1322"/>
      <c r="M35" s="1255"/>
      <c r="N35" s="1201"/>
      <c r="O35" s="1201"/>
      <c r="P35" s="1201"/>
      <c r="Q35" s="1201"/>
      <c r="R35" s="1201"/>
    </row>
    <row r="36" spans="1:18" s="330" customFormat="1" ht="39.950000000000003" customHeight="1" thickBot="1" x14ac:dyDescent="0.3">
      <c r="A36" s="1201"/>
      <c r="B36" s="1308" t="s">
        <v>711</v>
      </c>
      <c r="C36" s="1309"/>
      <c r="D36" s="1309"/>
      <c r="E36" s="1309"/>
      <c r="F36" s="1309"/>
      <c r="G36" s="1310"/>
      <c r="H36" s="1310"/>
      <c r="I36" s="1310"/>
      <c r="J36" s="1311"/>
      <c r="K36" s="1312">
        <v>1</v>
      </c>
      <c r="L36" s="1313" t="s">
        <v>203</v>
      </c>
      <c r="M36" s="1201"/>
      <c r="N36" s="1201"/>
      <c r="O36" s="1201"/>
      <c r="P36" s="1201"/>
      <c r="Q36" s="1201"/>
      <c r="R36" s="1201"/>
    </row>
    <row r="37" spans="1:18" s="330" customFormat="1" ht="39.950000000000003" customHeight="1" x14ac:dyDescent="0.25">
      <c r="A37" s="1201"/>
      <c r="B37" s="1201"/>
      <c r="C37" s="1201"/>
      <c r="D37" s="1201"/>
      <c r="E37" s="1201"/>
      <c r="F37" s="1201"/>
      <c r="G37" s="1201"/>
      <c r="H37" s="1201"/>
      <c r="I37" s="1201"/>
      <c r="J37" s="1201"/>
      <c r="K37" s="1201"/>
      <c r="L37" s="1201"/>
      <c r="M37" s="1255"/>
      <c r="N37" s="1201"/>
      <c r="O37" s="1201"/>
      <c r="P37" s="1201"/>
      <c r="Q37" s="1201"/>
      <c r="R37" s="1201"/>
    </row>
    <row r="38" spans="1:18" s="330" customFormat="1" ht="39.950000000000003" customHeight="1" thickBot="1" x14ac:dyDescent="0.3">
      <c r="A38" s="1201"/>
      <c r="B38" s="1201"/>
      <c r="C38" s="1201"/>
      <c r="D38" s="1201"/>
      <c r="E38" s="1201"/>
      <c r="F38" s="1201"/>
      <c r="G38" s="1201"/>
      <c r="H38" s="1201"/>
      <c r="I38" s="1201"/>
      <c r="J38" s="1201"/>
      <c r="K38" s="1201"/>
      <c r="L38" s="1201"/>
      <c r="M38" s="1201"/>
      <c r="N38" s="1201"/>
      <c r="O38" s="1201"/>
      <c r="P38" s="1201"/>
      <c r="Q38" s="1201"/>
      <c r="R38" s="336"/>
    </row>
    <row r="39" spans="1:18" s="329" customFormat="1" ht="39.950000000000003" customHeight="1" thickBot="1" x14ac:dyDescent="0.3">
      <c r="A39" s="1182"/>
      <c r="B39" s="1890" t="s">
        <v>712</v>
      </c>
      <c r="C39" s="1891"/>
      <c r="D39" s="1891"/>
      <c r="E39" s="1891"/>
      <c r="F39" s="1891"/>
      <c r="G39" s="1891"/>
      <c r="H39" s="1891"/>
      <c r="I39" s="1891"/>
      <c r="J39" s="1891"/>
      <c r="K39" s="1891"/>
      <c r="L39" s="1891"/>
      <c r="M39" s="1891"/>
      <c r="N39" s="1891"/>
      <c r="O39" s="1891"/>
      <c r="P39" s="1891"/>
      <c r="Q39" s="1892"/>
      <c r="R39" s="1182"/>
    </row>
    <row r="40" spans="1:18" s="329" customFormat="1" ht="48" customHeight="1" thickBot="1" x14ac:dyDescent="0.3">
      <c r="A40" s="1201"/>
      <c r="B40" s="1893" t="s">
        <v>471</v>
      </c>
      <c r="C40" s="1894"/>
      <c r="D40" s="299" t="s">
        <v>472</v>
      </c>
      <c r="E40" s="299" t="s">
        <v>474</v>
      </c>
      <c r="F40" s="299" t="s">
        <v>415</v>
      </c>
      <c r="G40" s="299" t="s">
        <v>599</v>
      </c>
      <c r="H40" s="299" t="s">
        <v>713</v>
      </c>
      <c r="I40" s="299"/>
      <c r="J40" s="299" t="s">
        <v>714</v>
      </c>
      <c r="K40" s="299"/>
      <c r="L40" s="301" t="s">
        <v>715</v>
      </c>
      <c r="M40" s="299" t="s">
        <v>415</v>
      </c>
      <c r="N40" s="301" t="s">
        <v>716</v>
      </c>
      <c r="O40" s="299" t="s">
        <v>717</v>
      </c>
      <c r="P40" s="299" t="s">
        <v>718</v>
      </c>
      <c r="Q40" s="22" t="s">
        <v>719</v>
      </c>
      <c r="R40" s="1182"/>
    </row>
    <row r="41" spans="1:18" s="330" customFormat="1" ht="39.950000000000003" customHeight="1" thickBot="1" x14ac:dyDescent="0.3">
      <c r="A41" s="1201"/>
      <c r="B41" s="23"/>
      <c r="C41" s="331"/>
      <c r="D41" s="331"/>
      <c r="E41" s="331"/>
      <c r="F41" s="331"/>
      <c r="G41" s="1201"/>
      <c r="H41" s="1201"/>
      <c r="I41" s="1201"/>
      <c r="J41" s="1201"/>
      <c r="K41" s="1201"/>
      <c r="L41" s="1201"/>
      <c r="M41" s="1201"/>
      <c r="N41" s="1201"/>
      <c r="O41" s="1201"/>
      <c r="P41" s="1201"/>
      <c r="Q41" s="1201"/>
      <c r="R41" s="1201"/>
    </row>
    <row r="42" spans="1:18" s="329" customFormat="1" ht="39.950000000000003" customHeight="1" thickBot="1" x14ac:dyDescent="0.3">
      <c r="A42" s="1870"/>
      <c r="B42" s="1871" t="s">
        <v>720</v>
      </c>
      <c r="C42" s="1872"/>
      <c r="D42" s="1141" t="e">
        <f>V14</f>
        <v>#N/A</v>
      </c>
      <c r="E42" s="1323"/>
      <c r="F42" s="1324" t="s">
        <v>203</v>
      </c>
      <c r="G42" s="1201"/>
      <c r="H42" s="1201"/>
      <c r="I42" s="1201"/>
      <c r="J42" s="1201"/>
      <c r="K42" s="1201"/>
      <c r="L42" s="1201"/>
      <c r="M42" s="1201"/>
      <c r="N42" s="1201"/>
      <c r="O42" s="1201"/>
      <c r="P42" s="1201"/>
      <c r="Q42" s="1201"/>
      <c r="R42" s="1201"/>
    </row>
    <row r="43" spans="1:18" s="329" customFormat="1" ht="39.950000000000003" customHeight="1" x14ac:dyDescent="0.25">
      <c r="A43" s="1870"/>
      <c r="B43" s="1873" t="s">
        <v>721</v>
      </c>
      <c r="C43" s="1874"/>
      <c r="D43" s="1142" t="e">
        <f>S11</f>
        <v>#N/A</v>
      </c>
      <c r="E43" s="1325" t="e">
        <f>F8</f>
        <v>#N/A</v>
      </c>
      <c r="F43" s="1326" t="s">
        <v>203</v>
      </c>
      <c r="G43" s="1327" t="e">
        <f>G8</f>
        <v>#N/A</v>
      </c>
      <c r="H43" s="1328" t="e">
        <f>E43/G43</f>
        <v>#N/A</v>
      </c>
      <c r="I43" s="1326" t="str">
        <f>F42</f>
        <v>mL</v>
      </c>
      <c r="J43" s="1329">
        <v>0.05</v>
      </c>
      <c r="K43" s="1326" t="s">
        <v>203</v>
      </c>
      <c r="L43" s="1328" t="e">
        <f>J43*H43</f>
        <v>#N/A</v>
      </c>
      <c r="M43" s="1326" t="s">
        <v>203</v>
      </c>
      <c r="N43" s="1330" t="e">
        <f t="shared" ref="N43:N48" si="0">L43^2</f>
        <v>#N/A</v>
      </c>
      <c r="O43" s="1331" t="s">
        <v>722</v>
      </c>
      <c r="P43" s="1331" t="s">
        <v>553</v>
      </c>
      <c r="Q43" s="1332">
        <v>50</v>
      </c>
      <c r="R43" s="1201"/>
    </row>
    <row r="44" spans="1:18" s="329" customFormat="1" ht="39.950000000000003" customHeight="1" x14ac:dyDescent="0.25">
      <c r="A44" s="1870"/>
      <c r="B44" s="1875" t="s">
        <v>723</v>
      </c>
      <c r="C44" s="1876"/>
      <c r="D44" s="1143" t="e">
        <f>W18</f>
        <v>#DIV/0!</v>
      </c>
      <c r="E44" s="1333" t="e">
        <f>D8</f>
        <v>#N/A</v>
      </c>
      <c r="F44" s="1334" t="s">
        <v>203</v>
      </c>
      <c r="G44" s="1335">
        <f>SQRT(3)</f>
        <v>1.7320508075688772</v>
      </c>
      <c r="H44" s="1336" t="e">
        <f>SQRT((H43)^2+(Q21)^2)</f>
        <v>#N/A</v>
      </c>
      <c r="I44" s="1334" t="str">
        <f>F43</f>
        <v>mL</v>
      </c>
      <c r="J44" s="1337" t="e">
        <f>K28</f>
        <v>#N/A</v>
      </c>
      <c r="K44" s="1334" t="s">
        <v>203</v>
      </c>
      <c r="L44" s="1298" t="e">
        <f>J44*H44</f>
        <v>#N/A</v>
      </c>
      <c r="M44" s="1334" t="s">
        <v>203</v>
      </c>
      <c r="N44" s="1338" t="e">
        <f t="shared" si="0"/>
        <v>#N/A</v>
      </c>
      <c r="O44" s="1335" t="s">
        <v>722</v>
      </c>
      <c r="P44" s="1335" t="s">
        <v>495</v>
      </c>
      <c r="Q44" s="1339">
        <v>50</v>
      </c>
      <c r="R44" s="1201"/>
    </row>
    <row r="45" spans="1:18" s="329" customFormat="1" ht="39.950000000000003" customHeight="1" thickBot="1" x14ac:dyDescent="0.3">
      <c r="A45" s="1201"/>
      <c r="B45" s="1857" t="s">
        <v>724</v>
      </c>
      <c r="C45" s="1858"/>
      <c r="D45" s="1144"/>
      <c r="E45" s="1340" t="e">
        <f>I12/D12</f>
        <v>#N/A</v>
      </c>
      <c r="F45" s="1341" t="s">
        <v>203</v>
      </c>
      <c r="G45" s="1340">
        <f>SQRT(3)</f>
        <v>1.7320508075688772</v>
      </c>
      <c r="H45" s="1342" t="e">
        <f>E45/G45</f>
        <v>#N/A</v>
      </c>
      <c r="I45" s="1341" t="str">
        <f>F44</f>
        <v>mL</v>
      </c>
      <c r="J45" s="1342">
        <f>J43</f>
        <v>0.05</v>
      </c>
      <c r="K45" s="1341" t="s">
        <v>203</v>
      </c>
      <c r="L45" s="1343" t="e">
        <f>J45*H45</f>
        <v>#N/A</v>
      </c>
      <c r="M45" s="1341" t="s">
        <v>203</v>
      </c>
      <c r="N45" s="1343" t="e">
        <f t="shared" si="0"/>
        <v>#N/A</v>
      </c>
      <c r="O45" s="1340" t="s">
        <v>725</v>
      </c>
      <c r="P45" s="1340" t="s">
        <v>495</v>
      </c>
      <c r="Q45" s="1344" t="s">
        <v>726</v>
      </c>
      <c r="R45" s="1201"/>
    </row>
    <row r="46" spans="1:18" s="330" customFormat="1" ht="39.950000000000003" customHeight="1" x14ac:dyDescent="0.25">
      <c r="A46" s="1201"/>
      <c r="B46" s="1877" t="s">
        <v>727</v>
      </c>
      <c r="C46" s="1878"/>
      <c r="D46" s="1145"/>
      <c r="E46" s="1331" t="e">
        <f>I12/D12</f>
        <v>#N/A</v>
      </c>
      <c r="F46" s="1326" t="s">
        <v>203</v>
      </c>
      <c r="G46" s="1331">
        <f>SQRT(3)</f>
        <v>1.7320508075688772</v>
      </c>
      <c r="H46" s="1329" t="e">
        <f>E46/G46</f>
        <v>#N/A</v>
      </c>
      <c r="I46" s="1326" t="str">
        <f>$I$45</f>
        <v>mL</v>
      </c>
      <c r="J46" s="1345">
        <f>J43</f>
        <v>0.05</v>
      </c>
      <c r="K46" s="1326" t="s">
        <v>203</v>
      </c>
      <c r="L46" s="1330" t="e">
        <f>H46*J46</f>
        <v>#N/A</v>
      </c>
      <c r="M46" s="1326" t="s">
        <v>203</v>
      </c>
      <c r="N46" s="1330" t="e">
        <f t="shared" si="0"/>
        <v>#N/A</v>
      </c>
      <c r="O46" s="1331" t="s">
        <v>725</v>
      </c>
      <c r="P46" s="1331" t="s">
        <v>495</v>
      </c>
      <c r="Q46" s="1332" t="s">
        <v>726</v>
      </c>
      <c r="R46" s="1201"/>
    </row>
    <row r="47" spans="1:18" s="329" customFormat="1" ht="39.950000000000003" customHeight="1" thickBot="1" x14ac:dyDescent="0.3">
      <c r="A47" s="1201"/>
      <c r="B47" s="1857" t="s">
        <v>728</v>
      </c>
      <c r="C47" s="1858"/>
      <c r="D47" s="1144"/>
      <c r="E47" s="1342" t="e">
        <f>I12*((C21)/(2*F19))</f>
        <v>#N/A</v>
      </c>
      <c r="F47" s="1341" t="s">
        <v>203</v>
      </c>
      <c r="G47" s="1340">
        <f>SQRT(12)</f>
        <v>3.4641016151377544</v>
      </c>
      <c r="H47" s="1342" t="e">
        <f>E47/G47</f>
        <v>#N/A</v>
      </c>
      <c r="I47" s="1341" t="str">
        <f>$I$45</f>
        <v>mL</v>
      </c>
      <c r="J47" s="1346">
        <v>1</v>
      </c>
      <c r="K47" s="1341" t="s">
        <v>203</v>
      </c>
      <c r="L47" s="1343" t="e">
        <f>H47*J47</f>
        <v>#N/A</v>
      </c>
      <c r="M47" s="1341" t="s">
        <v>203</v>
      </c>
      <c r="N47" s="1343" t="e">
        <f t="shared" si="0"/>
        <v>#N/A</v>
      </c>
      <c r="O47" s="1340"/>
      <c r="P47" s="1340" t="s">
        <v>495</v>
      </c>
      <c r="Q47" s="1344" t="s">
        <v>726</v>
      </c>
      <c r="R47" s="1201"/>
    </row>
    <row r="48" spans="1:18" s="329" customFormat="1" ht="39.950000000000003" customHeight="1" thickBot="1" x14ac:dyDescent="0.3">
      <c r="A48" s="1201"/>
      <c r="B48" s="1859" t="s">
        <v>729</v>
      </c>
      <c r="C48" s="1860"/>
      <c r="D48" s="1146"/>
      <c r="E48" s="1347"/>
      <c r="F48" s="1341"/>
      <c r="G48" s="1347"/>
      <c r="H48" s="1348" t="e">
        <f>W16</f>
        <v>#N/A</v>
      </c>
      <c r="I48" s="1349" t="str">
        <f>$I$45</f>
        <v>mL</v>
      </c>
      <c r="J48" s="1350">
        <v>1</v>
      </c>
      <c r="K48" s="1349" t="s">
        <v>203</v>
      </c>
      <c r="L48" s="1351" t="e">
        <f>H48*J48</f>
        <v>#N/A</v>
      </c>
      <c r="M48" s="1349" t="s">
        <v>203</v>
      </c>
      <c r="N48" s="1351" t="e">
        <f t="shared" si="0"/>
        <v>#N/A</v>
      </c>
      <c r="O48" s="1347"/>
      <c r="P48" s="1347" t="s">
        <v>495</v>
      </c>
      <c r="Q48" s="1352">
        <v>2</v>
      </c>
      <c r="R48" s="1201"/>
    </row>
    <row r="49" spans="1:18" s="329" customFormat="1" ht="39.950000000000003" customHeight="1" thickBot="1" x14ac:dyDescent="0.3">
      <c r="A49" s="1201"/>
      <c r="B49" s="1182"/>
      <c r="C49" s="1182"/>
      <c r="D49" s="1182"/>
      <c r="E49" s="1182"/>
      <c r="F49" s="1182"/>
      <c r="G49" s="1182"/>
      <c r="H49" s="1182"/>
      <c r="I49" s="1182"/>
      <c r="J49" s="1182"/>
      <c r="K49" s="1182"/>
      <c r="L49" s="1182"/>
      <c r="M49" s="1182"/>
      <c r="N49" s="1182"/>
      <c r="O49" s="1182"/>
      <c r="P49" s="1182"/>
      <c r="Q49" s="1182"/>
      <c r="R49" s="1201"/>
    </row>
    <row r="50" spans="1:18" s="332" customFormat="1" ht="39.950000000000003" customHeight="1" thickBot="1" x14ac:dyDescent="0.25">
      <c r="A50" s="1257"/>
      <c r="B50" s="1861" t="s">
        <v>598</v>
      </c>
      <c r="C50" s="1862"/>
      <c r="D50" s="1862"/>
      <c r="E50" s="1862"/>
      <c r="F50" s="1862"/>
      <c r="G50" s="1863"/>
      <c r="H50" s="1257"/>
      <c r="I50" s="1257"/>
      <c r="J50" s="1257"/>
      <c r="K50" s="1353"/>
      <c r="L50" s="1354"/>
      <c r="M50" s="1355"/>
      <c r="N50" s="1356" t="e">
        <f>SQRT(SUM(N42:N45,N46,N47,N48))</f>
        <v>#N/A</v>
      </c>
      <c r="O50" s="1357" t="s">
        <v>203</v>
      </c>
      <c r="P50" s="1358"/>
      <c r="Q50" s="1257"/>
      <c r="R50" s="1257"/>
    </row>
    <row r="51" spans="1:18" s="332" customFormat="1" ht="39.950000000000003" customHeight="1" thickBot="1" x14ac:dyDescent="0.25">
      <c r="A51" s="1257"/>
      <c r="B51" s="1359" t="s">
        <v>434</v>
      </c>
      <c r="C51" s="1360" t="s">
        <v>730</v>
      </c>
      <c r="D51" s="1360" t="s">
        <v>731</v>
      </c>
      <c r="E51" s="1361" t="s">
        <v>599</v>
      </c>
      <c r="F51" s="1360" t="s">
        <v>602</v>
      </c>
      <c r="G51" s="1362" t="s">
        <v>732</v>
      </c>
      <c r="H51" s="1257"/>
      <c r="I51" s="337" t="s">
        <v>733</v>
      </c>
      <c r="J51" s="1257"/>
      <c r="K51" s="1363"/>
      <c r="L51" s="1354"/>
      <c r="M51" s="24" t="s">
        <v>734</v>
      </c>
      <c r="N51" s="38" t="e">
        <f>N50*O53</f>
        <v>#N/A</v>
      </c>
      <c r="O51" s="1364" t="s">
        <v>203</v>
      </c>
      <c r="P51" s="1354"/>
      <c r="Q51" s="1257"/>
      <c r="R51" s="1257"/>
    </row>
    <row r="52" spans="1:18" s="332" customFormat="1" ht="39.950000000000003" customHeight="1" thickBot="1" x14ac:dyDescent="0.25">
      <c r="A52" s="1257"/>
      <c r="B52" s="1365" t="s">
        <v>203</v>
      </c>
      <c r="C52" s="1366" t="e">
        <f>W14</f>
        <v>#N/A</v>
      </c>
      <c r="D52" s="1367" t="e">
        <f>N50</f>
        <v>#N/A</v>
      </c>
      <c r="E52" s="1864">
        <v>2</v>
      </c>
      <c r="F52" s="1368" t="e">
        <f>D52*E52</f>
        <v>#N/A</v>
      </c>
      <c r="G52" s="1867">
        <v>95</v>
      </c>
      <c r="H52" s="1257"/>
      <c r="I52" s="1369"/>
      <c r="J52" s="1257"/>
      <c r="K52" s="1257"/>
      <c r="L52" s="336"/>
      <c r="M52" s="1257"/>
      <c r="N52" s="1370"/>
      <c r="O52" s="1371" t="s">
        <v>599</v>
      </c>
      <c r="P52" s="1372"/>
      <c r="Q52" s="1257"/>
      <c r="R52" s="1257"/>
    </row>
    <row r="53" spans="1:18" s="332" customFormat="1" ht="39.950000000000003" customHeight="1" thickBot="1" x14ac:dyDescent="0.25">
      <c r="A53" s="1264"/>
      <c r="B53" s="1373" t="s">
        <v>675</v>
      </c>
      <c r="C53" s="1298" t="e">
        <f>C52/16.38706</f>
        <v>#N/A</v>
      </c>
      <c r="D53" s="1374" t="e">
        <f>C53/16.38706</f>
        <v>#N/A</v>
      </c>
      <c r="E53" s="1865"/>
      <c r="F53" s="1375" t="e">
        <f>F52/16.38706</f>
        <v>#N/A</v>
      </c>
      <c r="G53" s="1868"/>
      <c r="H53" s="1257"/>
      <c r="I53" s="1257"/>
      <c r="J53" s="1257"/>
      <c r="K53" s="1257"/>
      <c r="L53" s="1376" t="s">
        <v>735</v>
      </c>
      <c r="M53" s="1377"/>
      <c r="N53" s="41" t="e">
        <f>(N50^4)/((L43^4/Q43)+(L44^4/Q44)+(L48^4/Q48))</f>
        <v>#N/A</v>
      </c>
      <c r="O53" s="1378" t="e">
        <f>_xlfn.T.INV.2T(0.05,N53)</f>
        <v>#N/A</v>
      </c>
      <c r="P53" s="1379"/>
      <c r="Q53" s="1257"/>
      <c r="R53" s="1257"/>
    </row>
    <row r="54" spans="1:18" s="332" customFormat="1" ht="39.950000000000003" customHeight="1" thickBot="1" x14ac:dyDescent="0.25">
      <c r="A54" s="1257"/>
      <c r="B54" s="1380" t="s">
        <v>499</v>
      </c>
      <c r="C54" s="1381" t="e">
        <f>(C53*100)/K20</f>
        <v>#N/A</v>
      </c>
      <c r="D54" s="1382" t="e">
        <f>(D53*100)/1155</f>
        <v>#N/A</v>
      </c>
      <c r="E54" s="1866"/>
      <c r="F54" s="1383" t="e">
        <f>(F53*100)/K20</f>
        <v>#N/A</v>
      </c>
      <c r="G54" s="1869"/>
      <c r="H54" s="1257"/>
      <c r="I54" s="1264"/>
      <c r="J54" s="1257"/>
      <c r="K54" s="1257"/>
      <c r="L54" s="1257"/>
      <c r="M54" s="1257"/>
      <c r="N54" s="1257"/>
      <c r="O54" s="1384"/>
      <c r="P54" s="1257"/>
      <c r="Q54" s="1257"/>
      <c r="R54" s="1257"/>
    </row>
    <row r="55" spans="1:18" s="332" customFormat="1" ht="39.950000000000003" customHeight="1" x14ac:dyDescent="0.2">
      <c r="A55" s="1257"/>
      <c r="B55" s="1257"/>
      <c r="C55" s="1257"/>
      <c r="D55" s="1257"/>
      <c r="E55" s="1257"/>
      <c r="F55" s="1257"/>
      <c r="G55" s="1257"/>
      <c r="H55" s="1257"/>
      <c r="I55" s="1264"/>
      <c r="J55" s="1257"/>
      <c r="K55" s="1257"/>
      <c r="L55" s="1257"/>
      <c r="M55" s="1257"/>
      <c r="N55" s="1257"/>
      <c r="O55" s="1257"/>
      <c r="P55" s="1257"/>
      <c r="Q55" s="1257"/>
      <c r="R55" s="1257"/>
    </row>
    <row r="56" spans="1:18" s="332" customFormat="1" ht="39.950000000000003" customHeight="1" x14ac:dyDescent="0.2">
      <c r="A56" s="1257"/>
      <c r="B56" s="1257"/>
      <c r="C56" s="1257"/>
      <c r="D56" s="1257"/>
      <c r="E56" s="1257"/>
      <c r="F56" s="1257"/>
      <c r="G56" s="1257"/>
      <c r="H56" s="1257"/>
      <c r="I56" s="1257"/>
      <c r="J56" s="1257"/>
      <c r="K56" s="1257"/>
      <c r="L56" s="1257"/>
      <c r="M56" s="1257"/>
      <c r="N56" s="1257"/>
      <c r="O56" s="1257"/>
      <c r="P56" s="1257"/>
      <c r="Q56" s="1257"/>
      <c r="R56" s="1257"/>
    </row>
    <row r="57" spans="1:18" s="332" customFormat="1" ht="39.950000000000003" customHeight="1" x14ac:dyDescent="0.2">
      <c r="A57" s="1257"/>
      <c r="B57" s="1257"/>
      <c r="C57" s="1257"/>
      <c r="D57" s="1257"/>
      <c r="E57" s="1257"/>
      <c r="F57" s="1257"/>
      <c r="G57" s="1257"/>
      <c r="H57" s="1257"/>
      <c r="I57" s="1257"/>
      <c r="J57" s="1257"/>
      <c r="K57" s="1257"/>
      <c r="L57" s="1257"/>
      <c r="M57" s="1257"/>
      <c r="N57" s="1257"/>
      <c r="O57" s="1257"/>
      <c r="P57" s="1257"/>
      <c r="Q57" s="1257"/>
      <c r="R57" s="1257"/>
    </row>
    <row r="58" spans="1:18" s="332" customFormat="1" ht="39.950000000000003" customHeight="1" x14ac:dyDescent="0.2">
      <c r="A58" s="1257"/>
      <c r="B58" s="1257"/>
      <c r="C58" s="1257"/>
      <c r="D58" s="1257"/>
      <c r="E58" s="1257"/>
      <c r="F58" s="1257"/>
      <c r="G58" s="1257"/>
      <c r="H58" s="1257"/>
      <c r="I58" s="1257"/>
      <c r="J58" s="1257"/>
      <c r="K58" s="1257"/>
      <c r="L58" s="1257"/>
      <c r="M58" s="1257"/>
      <c r="N58" s="1257"/>
      <c r="O58" s="1257"/>
      <c r="P58" s="1257"/>
      <c r="Q58" s="1257"/>
      <c r="R58" s="1257"/>
    </row>
    <row r="59" spans="1:18" s="332" customFormat="1" x14ac:dyDescent="0.2">
      <c r="A59" s="1257"/>
      <c r="B59" s="1257"/>
      <c r="C59" s="1257"/>
      <c r="D59" s="1257"/>
      <c r="E59" s="1257"/>
      <c r="F59" s="1257"/>
      <c r="G59" s="1257"/>
      <c r="H59" s="1257"/>
      <c r="I59" s="1257"/>
      <c r="J59" s="1257"/>
      <c r="K59" s="1257"/>
      <c r="L59" s="1257"/>
      <c r="M59" s="1257"/>
      <c r="N59" s="1257"/>
      <c r="O59" s="1257"/>
      <c r="P59" s="1257"/>
      <c r="Q59" s="1257"/>
      <c r="R59" s="1257"/>
    </row>
    <row r="60" spans="1:18" s="332" customFormat="1" x14ac:dyDescent="0.2">
      <c r="A60" s="1257"/>
      <c r="B60" s="1257"/>
      <c r="C60" s="1257"/>
      <c r="D60" s="1257"/>
      <c r="E60" s="1257"/>
      <c r="F60" s="1257"/>
      <c r="G60" s="1257"/>
      <c r="H60" s="1257"/>
      <c r="I60" s="1257"/>
      <c r="J60" s="1257"/>
      <c r="K60" s="1257"/>
      <c r="L60" s="1257"/>
      <c r="M60" s="1257"/>
      <c r="N60" s="1257"/>
      <c r="O60" s="1257"/>
      <c r="P60" s="1257"/>
      <c r="Q60" s="1257"/>
      <c r="R60" s="1257"/>
    </row>
    <row r="61" spans="1:18" s="332" customFormat="1" x14ac:dyDescent="0.2">
      <c r="A61" s="1257"/>
      <c r="B61" s="1257"/>
      <c r="C61" s="1257"/>
      <c r="D61" s="1257"/>
      <c r="E61" s="1257"/>
      <c r="F61" s="1257"/>
      <c r="G61" s="1257"/>
      <c r="H61" s="1257"/>
      <c r="I61" s="1257"/>
      <c r="J61" s="1257"/>
      <c r="K61" s="1257"/>
      <c r="L61" s="1257"/>
      <c r="M61" s="1257"/>
      <c r="N61" s="1257"/>
      <c r="O61" s="1257"/>
      <c r="P61" s="1257"/>
      <c r="Q61" s="1257"/>
      <c r="R61" s="1257"/>
    </row>
  </sheetData>
  <sheetProtection password="CF5C" sheet="1" objects="1" scenarios="1"/>
  <mergeCells count="45">
    <mergeCell ref="A1:C1"/>
    <mergeCell ref="D1:W1"/>
    <mergeCell ref="D3:E3"/>
    <mergeCell ref="G3:H3"/>
    <mergeCell ref="J3:K3"/>
    <mergeCell ref="M3:N3"/>
    <mergeCell ref="P3:R3"/>
    <mergeCell ref="A6:G6"/>
    <mergeCell ref="I6:J6"/>
    <mergeCell ref="K6:L6"/>
    <mergeCell ref="M6:Q7"/>
    <mergeCell ref="R6:W7"/>
    <mergeCell ref="I7:J7"/>
    <mergeCell ref="B39:Q39"/>
    <mergeCell ref="B40:C40"/>
    <mergeCell ref="V8:V10"/>
    <mergeCell ref="W8:W10"/>
    <mergeCell ref="B10:E10"/>
    <mergeCell ref="H10:I10"/>
    <mergeCell ref="B11:C11"/>
    <mergeCell ref="D11:E11"/>
    <mergeCell ref="R11:R13"/>
    <mergeCell ref="S11:S13"/>
    <mergeCell ref="I8:J8"/>
    <mergeCell ref="K8:L8"/>
    <mergeCell ref="R8:R10"/>
    <mergeCell ref="S8:S10"/>
    <mergeCell ref="T8:T10"/>
    <mergeCell ref="U8:U10"/>
    <mergeCell ref="B17:F17"/>
    <mergeCell ref="G17:K17"/>
    <mergeCell ref="Q19:S20"/>
    <mergeCell ref="Q21:S21"/>
    <mergeCell ref="B24:L24"/>
    <mergeCell ref="A42:A44"/>
    <mergeCell ref="B42:C42"/>
    <mergeCell ref="B43:C43"/>
    <mergeCell ref="B44:C44"/>
    <mergeCell ref="B46:C46"/>
    <mergeCell ref="B45:C45"/>
    <mergeCell ref="B47:C47"/>
    <mergeCell ref="B48:C48"/>
    <mergeCell ref="B50:G50"/>
    <mergeCell ref="E52:E54"/>
    <mergeCell ref="G52:G54"/>
  </mergeCells>
  <pageMargins left="0.70866141732283472" right="0.70866141732283472" top="0.74803149606299213" bottom="0.74803149606299213" header="0.31496062992125984" footer="0.31496062992125984"/>
  <pageSetup scale="10" pageOrder="overThenDown" orientation="portrait" r:id="rId1"/>
  <headerFooter>
    <oddFooter>&amp;RRT03-F52 Vr.3 (2023-06-06)</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¬'!$D$7:$D$8</xm:f>
          </x14:formula1>
          <xm:sqref>S3</xm:sqref>
        </x14:dataValidation>
        <x14:dataValidation type="list" allowBlank="1" showInputMessage="1" showErrorMessage="1">
          <x14:formula1>
            <xm:f>'DATOS ¬'!$P$9:$P$12</xm:f>
          </x14:formula1>
          <xm:sqref>L7</xm:sqref>
        </x14:dataValidation>
        <x14:dataValidation type="list" allowBlank="1" showInputMessage="1" showErrorMessage="1">
          <x14:formula1>
            <xm:f>'DATOS ¬'!$AC$134:$AC$139</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15"/>
  <sheetViews>
    <sheetView showGridLines="0" zoomScale="80" zoomScaleNormal="80" zoomScaleSheetLayoutView="80" workbookViewId="0">
      <selection activeCell="B24" sqref="B24:L24"/>
    </sheetView>
  </sheetViews>
  <sheetFormatPr baseColWidth="10" defaultColWidth="10.85546875" defaultRowHeight="15" x14ac:dyDescent="0.25"/>
  <cols>
    <col min="1" max="2" width="14.5703125" style="136" customWidth="1"/>
    <col min="3" max="4" width="11" style="136" bestFit="1" customWidth="1"/>
    <col min="5" max="5" width="14.85546875" style="136" bestFit="1" customWidth="1"/>
    <col min="6" max="6" width="16.140625" style="136" bestFit="1" customWidth="1"/>
    <col min="7" max="7" width="11" style="136" bestFit="1" customWidth="1"/>
    <col min="8" max="16384" width="10.85546875" style="136"/>
  </cols>
  <sheetData>
    <row r="1" spans="1:20" ht="54" customHeight="1" thickBot="1" x14ac:dyDescent="0.3">
      <c r="A1" s="1940"/>
      <c r="B1" s="1941"/>
      <c r="C1" s="1942"/>
      <c r="D1" s="1943" t="s">
        <v>0</v>
      </c>
      <c r="E1" s="1944"/>
      <c r="F1" s="1944"/>
      <c r="G1" s="1944"/>
      <c r="H1" s="1944"/>
      <c r="I1" s="1944"/>
      <c r="J1" s="1944"/>
      <c r="K1" s="1944"/>
      <c r="L1" s="1944"/>
      <c r="M1" s="1944"/>
      <c r="N1" s="1944"/>
      <c r="O1" s="1944"/>
      <c r="P1" s="1944"/>
      <c r="Q1" s="1944"/>
      <c r="R1" s="1944"/>
      <c r="S1" s="1944"/>
      <c r="T1" s="1945"/>
    </row>
    <row r="2" spans="1:20" ht="15.75" thickBot="1" x14ac:dyDescent="0.3">
      <c r="A2" s="341"/>
      <c r="B2" s="341"/>
      <c r="H2" s="341"/>
      <c r="I2" s="341"/>
      <c r="J2" s="341"/>
      <c r="K2" s="341"/>
      <c r="L2" s="341"/>
    </row>
    <row r="3" spans="1:20" ht="15.75" thickBot="1" x14ac:dyDescent="0.3">
      <c r="A3" s="1151" t="s">
        <v>224</v>
      </c>
    </row>
    <row r="4" spans="1:20" ht="15.75" thickBot="1" x14ac:dyDescent="0.3">
      <c r="A4" s="342" t="e">
        <f>'RT03-F52 ¬ '!C52</f>
        <v>#N/A</v>
      </c>
      <c r="C4" s="1147" t="s">
        <v>736</v>
      </c>
      <c r="D4" s="1946"/>
      <c r="E4" s="1946"/>
      <c r="F4" s="1947"/>
      <c r="H4" s="341"/>
      <c r="I4" s="341"/>
      <c r="J4" s="341"/>
      <c r="K4" s="341"/>
      <c r="L4" s="341"/>
    </row>
    <row r="5" spans="1:20" ht="15.75" x14ac:dyDescent="0.25">
      <c r="C5" s="1948" t="s">
        <v>737</v>
      </c>
      <c r="D5" s="1949"/>
      <c r="E5" s="1949"/>
      <c r="F5" s="1950"/>
      <c r="G5" s="307"/>
    </row>
    <row r="6" spans="1:20" ht="15.75" x14ac:dyDescent="0.25">
      <c r="C6" s="1951" t="s">
        <v>738</v>
      </c>
      <c r="D6" s="1952"/>
      <c r="E6" s="1952"/>
      <c r="F6" s="1953"/>
      <c r="G6" s="307"/>
      <c r="H6" s="341"/>
      <c r="I6" s="341"/>
      <c r="J6" s="341"/>
      <c r="K6" s="341"/>
      <c r="L6" s="341"/>
    </row>
    <row r="7" spans="1:20" x14ac:dyDescent="0.25">
      <c r="C7" s="674">
        <v>18501</v>
      </c>
      <c r="D7" s="675" t="s">
        <v>739</v>
      </c>
      <c r="E7" s="675">
        <v>19336.599999999999</v>
      </c>
      <c r="F7" s="676" t="s">
        <v>203</v>
      </c>
      <c r="G7" s="50"/>
    </row>
    <row r="8" spans="1:20" ht="18" x14ac:dyDescent="0.25">
      <c r="C8" s="1483">
        <v>1128.29</v>
      </c>
      <c r="D8" s="675" t="s">
        <v>739</v>
      </c>
      <c r="E8" s="675">
        <v>1179.99</v>
      </c>
      <c r="F8" s="676" t="s">
        <v>858</v>
      </c>
      <c r="G8" s="50"/>
      <c r="H8" s="341"/>
      <c r="I8" s="341"/>
      <c r="J8" s="341"/>
      <c r="K8" s="341"/>
      <c r="L8" s="341"/>
    </row>
    <row r="9" spans="1:20" ht="15.75" thickBot="1" x14ac:dyDescent="0.3">
      <c r="C9" s="1483">
        <v>4.8917000000000002</v>
      </c>
      <c r="D9" s="675" t="s">
        <v>739</v>
      </c>
      <c r="E9" s="675">
        <v>5.1082000000000001</v>
      </c>
      <c r="F9" s="676" t="s">
        <v>469</v>
      </c>
      <c r="G9" s="50"/>
    </row>
    <row r="10" spans="1:20" ht="19.5" thickBot="1" x14ac:dyDescent="0.3">
      <c r="C10" s="193" t="s">
        <v>2</v>
      </c>
      <c r="D10" s="1148" t="s">
        <v>203</v>
      </c>
      <c r="E10" s="1148" t="s">
        <v>611</v>
      </c>
      <c r="F10" s="1149" t="s">
        <v>469</v>
      </c>
      <c r="G10" s="1150" t="s">
        <v>499</v>
      </c>
      <c r="H10" s="341"/>
      <c r="I10" s="341"/>
      <c r="J10" s="341"/>
      <c r="K10" s="341"/>
      <c r="L10" s="341"/>
    </row>
    <row r="11" spans="1:20" ht="15.75" thickBot="1" x14ac:dyDescent="0.3">
      <c r="C11" s="812"/>
      <c r="D11" s="808"/>
      <c r="E11" s="808"/>
      <c r="F11" s="813"/>
      <c r="G11" s="60"/>
    </row>
    <row r="12" spans="1:20" ht="15.75" thickBot="1" x14ac:dyDescent="0.3">
      <c r="A12" s="307"/>
      <c r="C12" s="812">
        <v>1</v>
      </c>
      <c r="D12" s="814" t="e">
        <f>A4*0.015%</f>
        <v>#N/A</v>
      </c>
      <c r="E12" s="815" t="e">
        <f>D12/16.38706</f>
        <v>#N/A</v>
      </c>
      <c r="F12" s="813" t="e">
        <f>(D12/1000)/3.785412</f>
        <v>#N/A</v>
      </c>
      <c r="G12" s="816" t="e">
        <f>(D12/A4)*100</f>
        <v>#N/A</v>
      </c>
      <c r="H12" s="341"/>
      <c r="I12" s="341"/>
      <c r="J12" s="341"/>
      <c r="K12" s="341"/>
      <c r="L12" s="341"/>
    </row>
    <row r="13" spans="1:20" ht="15.75" thickBot="1" x14ac:dyDescent="0.3">
      <c r="C13" s="817"/>
      <c r="D13" s="818"/>
      <c r="E13" s="819"/>
      <c r="F13" s="820"/>
      <c r="G13" s="821"/>
    </row>
    <row r="15" spans="1:20" x14ac:dyDescent="0.25">
      <c r="C15" s="341"/>
      <c r="D15" s="341"/>
      <c r="E15" s="828"/>
      <c r="F15" s="827"/>
      <c r="G15" s="341"/>
      <c r="L15" s="343"/>
    </row>
  </sheetData>
  <sheetProtection password="CF5C" sheet="1" objects="1" scenarios="1"/>
  <mergeCells count="5">
    <mergeCell ref="A1:C1"/>
    <mergeCell ref="D1:T1"/>
    <mergeCell ref="D4:F4"/>
    <mergeCell ref="C5:F5"/>
    <mergeCell ref="C6:F6"/>
  </mergeCells>
  <pageMargins left="0.70866141732283472" right="0.70866141732283472" top="0.74803149606299213" bottom="0.74803149606299213" header="0.31496062992125984" footer="0.31496062992125984"/>
  <pageSetup scale="10" pageOrder="overThenDown" orientation="portrait" r:id="rId1"/>
  <headerFooter>
    <oddFooter>&amp;RRT03-F52 Vr.3 (2023-06-06)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152"/>
  <sheetViews>
    <sheetView showGridLines="0" view="pageBreakPreview" topLeftCell="A58" zoomScale="80" zoomScaleNormal="100" zoomScaleSheetLayoutView="80" workbookViewId="0">
      <selection activeCell="A31" sqref="A31:L31"/>
    </sheetView>
  </sheetViews>
  <sheetFormatPr baseColWidth="10" defaultColWidth="11.42578125" defaultRowHeight="15.75" x14ac:dyDescent="0.25"/>
  <cols>
    <col min="1" max="1" width="5.7109375" style="434" customWidth="1"/>
    <col min="2" max="2" width="13.5703125" style="434" customWidth="1"/>
    <col min="3" max="3" width="12.7109375" style="434" customWidth="1"/>
    <col min="4" max="4" width="15.28515625" style="434" customWidth="1"/>
    <col min="5" max="8" width="12.7109375" style="434" customWidth="1"/>
    <col min="9" max="9" width="18" style="434" customWidth="1"/>
    <col min="10" max="10" width="9.42578125" style="434" customWidth="1"/>
    <col min="11" max="11" width="15" style="434" customWidth="1"/>
    <col min="12" max="12" width="8.28515625" style="434" customWidth="1"/>
    <col min="13" max="13" width="10.140625" style="434" customWidth="1"/>
    <col min="14" max="14" width="8" style="434" customWidth="1"/>
    <col min="15" max="15" width="13.85546875" style="434" customWidth="1"/>
    <col min="16" max="16" width="0.5703125" style="434" customWidth="1"/>
    <col min="17" max="17" width="1.7109375" style="434" customWidth="1"/>
    <col min="18" max="16384" width="11.42578125" style="434"/>
  </cols>
  <sheetData>
    <row r="1" spans="1:12" ht="125.1" customHeight="1" x14ac:dyDescent="0.25">
      <c r="A1" s="1968"/>
      <c r="B1" s="1968"/>
      <c r="C1" s="1968"/>
      <c r="D1" s="1968"/>
      <c r="E1" s="1968"/>
      <c r="F1" s="1968"/>
      <c r="G1" s="1968"/>
      <c r="H1" s="1968"/>
      <c r="I1" s="1968"/>
      <c r="J1" s="1968"/>
      <c r="K1" s="1968"/>
    </row>
    <row r="2" spans="1:12" ht="35.1" customHeight="1" x14ac:dyDescent="0.25">
      <c r="A2" s="677"/>
      <c r="B2" s="677"/>
      <c r="C2" s="677"/>
      <c r="D2" s="677"/>
      <c r="E2" s="677"/>
      <c r="F2" s="677"/>
      <c r="G2" s="677"/>
      <c r="H2" s="677"/>
      <c r="I2" s="677"/>
      <c r="J2" s="677"/>
      <c r="K2" s="677"/>
    </row>
    <row r="3" spans="1:12" ht="65.099999999999994" customHeight="1" x14ac:dyDescent="0.25">
      <c r="A3" s="677"/>
      <c r="B3" s="677"/>
      <c r="C3" s="677"/>
      <c r="D3" s="677"/>
      <c r="E3" s="677"/>
      <c r="F3" s="677"/>
      <c r="G3" s="677"/>
      <c r="H3" s="1969" t="s">
        <v>741</v>
      </c>
      <c r="I3" s="1969"/>
      <c r="J3" s="1970">
        <f>'DATOS ¬'!N15</f>
        <v>0</v>
      </c>
      <c r="K3" s="1970"/>
      <c r="L3" s="1970"/>
    </row>
    <row r="4" spans="1:12" ht="27.95" customHeight="1" x14ac:dyDescent="0.25">
      <c r="A4" s="1959" t="s">
        <v>742</v>
      </c>
      <c r="B4" s="1959"/>
      <c r="C4" s="1959"/>
      <c r="D4" s="1959"/>
      <c r="E4" s="678"/>
      <c r="F4" s="503"/>
    </row>
    <row r="5" spans="1:12" ht="18" customHeight="1" x14ac:dyDescent="0.25">
      <c r="A5" s="679"/>
      <c r="B5" s="679"/>
      <c r="C5" s="679"/>
      <c r="D5" s="503"/>
      <c r="E5" s="503"/>
      <c r="F5" s="503"/>
    </row>
    <row r="6" spans="1:12" ht="27.95" customHeight="1" x14ac:dyDescent="0.25">
      <c r="A6" s="1759" t="s">
        <v>743</v>
      </c>
      <c r="B6" s="1759"/>
      <c r="C6" s="680"/>
      <c r="D6" s="1759">
        <f>'DATOS ¬'!K8</f>
        <v>0</v>
      </c>
      <c r="E6" s="1759"/>
      <c r="F6" s="1759"/>
      <c r="G6" s="1759"/>
      <c r="H6" s="1759"/>
      <c r="I6" s="1759"/>
      <c r="J6" s="1759"/>
      <c r="K6" s="1759"/>
    </row>
    <row r="7" spans="1:12" ht="27.95" customHeight="1" x14ac:dyDescent="0.25">
      <c r="A7" s="1955" t="s">
        <v>744</v>
      </c>
      <c r="B7" s="1955"/>
      <c r="C7" s="681"/>
      <c r="D7" s="1759">
        <f>'DATOS ¬'!L8</f>
        <v>0</v>
      </c>
      <c r="E7" s="1759"/>
      <c r="F7" s="1759"/>
      <c r="G7" s="1759"/>
      <c r="H7" s="1759"/>
      <c r="I7" s="1759"/>
      <c r="J7" s="1759"/>
      <c r="K7" s="1759"/>
    </row>
    <row r="8" spans="1:12" ht="27.95" customHeight="1" x14ac:dyDescent="0.25">
      <c r="A8" s="1955" t="s">
        <v>745</v>
      </c>
      <c r="B8" s="1955"/>
      <c r="C8" s="681"/>
      <c r="D8" s="1759">
        <f>'DATOS ¬'!M8</f>
        <v>0</v>
      </c>
      <c r="E8" s="1759"/>
      <c r="F8" s="1759"/>
      <c r="G8" s="1759"/>
      <c r="H8" s="1759"/>
      <c r="I8" s="1759"/>
      <c r="J8" s="1759"/>
      <c r="K8" s="1759"/>
    </row>
    <row r="9" spans="1:12" ht="26.1" customHeight="1" x14ac:dyDescent="0.25">
      <c r="A9" s="682"/>
      <c r="B9" s="682"/>
      <c r="C9" s="679"/>
      <c r="D9" s="503"/>
      <c r="E9" s="503"/>
      <c r="F9" s="503"/>
      <c r="G9" s="503"/>
    </row>
    <row r="10" spans="1:12" ht="26.1" customHeight="1" x14ac:dyDescent="0.25">
      <c r="A10" s="1759" t="s">
        <v>746</v>
      </c>
      <c r="B10" s="1759"/>
      <c r="C10" s="1759"/>
      <c r="D10" s="1957">
        <f>'DATOS ¬'!F8</f>
        <v>0</v>
      </c>
      <c r="E10" s="1957"/>
      <c r="H10" s="1956" t="s">
        <v>747</v>
      </c>
      <c r="I10" s="1956"/>
      <c r="J10" s="1957">
        <f>'DATOS ¬'!I8</f>
        <v>0</v>
      </c>
      <c r="K10" s="1957"/>
    </row>
    <row r="11" spans="1:12" ht="26.1" customHeight="1" x14ac:dyDescent="0.25">
      <c r="A11" s="1958"/>
      <c r="B11" s="1958"/>
      <c r="C11" s="683"/>
      <c r="D11" s="1958"/>
      <c r="E11" s="1958"/>
      <c r="F11" s="1958"/>
    </row>
    <row r="12" spans="1:12" ht="27.95" customHeight="1" x14ac:dyDescent="0.25">
      <c r="A12" s="1959" t="s">
        <v>748</v>
      </c>
      <c r="B12" s="1959"/>
      <c r="C12" s="1959"/>
      <c r="D12" s="1959"/>
      <c r="E12" s="1959"/>
      <c r="F12" s="1959"/>
      <c r="G12" s="1959"/>
      <c r="H12" s="1959"/>
      <c r="I12" s="1959"/>
      <c r="J12" s="1959"/>
    </row>
    <row r="13" spans="1:12" ht="18" customHeight="1" x14ac:dyDescent="0.25">
      <c r="A13" s="680"/>
      <c r="B13" s="680"/>
      <c r="C13" s="680"/>
      <c r="D13" s="680"/>
      <c r="E13" s="680"/>
      <c r="F13" s="50"/>
      <c r="G13" s="51"/>
      <c r="H13" s="51"/>
      <c r="I13" s="51"/>
      <c r="J13" s="51"/>
    </row>
    <row r="14" spans="1:12" ht="27.95" customHeight="1" x14ac:dyDescent="0.25">
      <c r="A14" s="1759" t="s">
        <v>749</v>
      </c>
      <c r="B14" s="1759"/>
      <c r="C14" s="1759"/>
      <c r="D14" s="1759"/>
      <c r="E14" s="1960" t="s">
        <v>750</v>
      </c>
      <c r="F14" s="1960"/>
      <c r="G14" s="1960"/>
      <c r="H14" s="1960"/>
      <c r="I14" s="1960"/>
      <c r="J14" s="1960"/>
      <c r="K14" s="1960"/>
      <c r="L14" s="1960"/>
    </row>
    <row r="15" spans="1:12" ht="27.95" customHeight="1" x14ac:dyDescent="0.25">
      <c r="A15" s="1759" t="s">
        <v>751</v>
      </c>
      <c r="B15" s="1759"/>
      <c r="C15" s="1759"/>
      <c r="D15" s="1759"/>
      <c r="E15" s="1759">
        <f>'DATOS ¬'!C15</f>
        <v>0</v>
      </c>
      <c r="F15" s="1759"/>
      <c r="G15" s="1759"/>
      <c r="H15" s="1759"/>
      <c r="I15" s="1759"/>
      <c r="J15" s="1759"/>
      <c r="K15" s="1759"/>
      <c r="L15" s="1759"/>
    </row>
    <row r="16" spans="1:12" ht="27.95" customHeight="1" x14ac:dyDescent="0.25">
      <c r="A16" s="1759" t="s">
        <v>752</v>
      </c>
      <c r="B16" s="1759"/>
      <c r="C16" s="1759"/>
      <c r="D16" s="1759"/>
      <c r="E16" s="1961">
        <f>'DATOS ¬'!E15</f>
        <v>0</v>
      </c>
      <c r="F16" s="1961"/>
      <c r="G16" s="1961"/>
      <c r="H16" s="1961"/>
      <c r="I16" s="1961"/>
      <c r="J16" s="1961"/>
      <c r="K16" s="1961"/>
      <c r="L16" s="1961"/>
    </row>
    <row r="17" spans="1:25" ht="27.95" customHeight="1" x14ac:dyDescent="0.25">
      <c r="A17" s="1759" t="s">
        <v>753</v>
      </c>
      <c r="B17" s="1759"/>
      <c r="C17" s="1759"/>
      <c r="D17" s="1759"/>
      <c r="E17" s="1962">
        <f>'DATOS ¬'!D15</f>
        <v>0</v>
      </c>
      <c r="F17" s="1962"/>
      <c r="G17" s="1962"/>
      <c r="H17" s="1962"/>
      <c r="I17" s="1962"/>
      <c r="J17" s="1962"/>
      <c r="K17" s="1962"/>
      <c r="L17" s="1962"/>
    </row>
    <row r="18" spans="1:25" ht="27.95" customHeight="1" x14ac:dyDescent="0.25">
      <c r="A18" s="1759" t="s">
        <v>754</v>
      </c>
      <c r="B18" s="1759"/>
      <c r="C18" s="1759"/>
      <c r="D18" s="1759"/>
      <c r="E18" s="1960" t="s">
        <v>755</v>
      </c>
      <c r="F18" s="1960"/>
      <c r="G18" s="1960"/>
      <c r="H18" s="1960"/>
      <c r="I18" s="1960"/>
      <c r="J18" s="1960"/>
      <c r="K18" s="1960"/>
      <c r="L18" s="1960"/>
    </row>
    <row r="19" spans="1:25" ht="27.95" customHeight="1" x14ac:dyDescent="0.25">
      <c r="A19" s="1759" t="s">
        <v>756</v>
      </c>
      <c r="B19" s="1759"/>
      <c r="C19" s="1759"/>
      <c r="D19" s="1759"/>
      <c r="E19" s="524" t="str">
        <f>CONCATENATE('DATOS ¬'!G15," ",'DATOS ¬'!G14)</f>
        <v xml:space="preserve"> </v>
      </c>
      <c r="F19" s="524"/>
      <c r="G19" s="524"/>
      <c r="H19" s="524"/>
      <c r="I19" s="524"/>
      <c r="J19" s="524"/>
      <c r="K19" s="524"/>
      <c r="L19" s="524"/>
      <c r="S19" s="1958"/>
      <c r="T19" s="1958"/>
      <c r="U19" s="1958"/>
      <c r="V19" s="1958"/>
      <c r="W19" s="1958"/>
    </row>
    <row r="20" spans="1:25" ht="27.95" customHeight="1" x14ac:dyDescent="0.25">
      <c r="A20" s="1759" t="s">
        <v>757</v>
      </c>
      <c r="B20" s="1759"/>
      <c r="C20" s="1759"/>
      <c r="D20" s="1759"/>
      <c r="E20" s="684" t="e">
        <f>'DATOS ¬'!H15</f>
        <v>#N/A</v>
      </c>
      <c r="G20" s="53"/>
      <c r="H20" s="53"/>
      <c r="I20" s="55"/>
      <c r="J20" s="51"/>
    </row>
    <row r="21" spans="1:25" ht="27.95" customHeight="1" x14ac:dyDescent="0.25">
      <c r="A21" s="1759" t="s">
        <v>758</v>
      </c>
      <c r="B21" s="1759"/>
      <c r="C21" s="1759"/>
      <c r="D21" s="1759"/>
      <c r="E21" s="1960" t="s">
        <v>759</v>
      </c>
      <c r="F21" s="1960"/>
      <c r="G21" s="1960"/>
      <c r="H21" s="1960"/>
      <c r="I21" s="1960"/>
      <c r="J21" s="1960"/>
      <c r="K21" s="1960"/>
      <c r="L21" s="1960"/>
      <c r="S21" s="1971"/>
      <c r="T21" s="1972"/>
      <c r="U21" s="1972"/>
      <c r="W21" s="1958"/>
      <c r="X21" s="1958"/>
      <c r="Y21" s="1958"/>
    </row>
    <row r="22" spans="1:25" ht="26.1" customHeight="1" x14ac:dyDescent="0.25">
      <c r="A22" s="1958"/>
      <c r="B22" s="1958"/>
      <c r="C22" s="1958"/>
      <c r="D22" s="1958"/>
      <c r="E22" s="1958"/>
      <c r="F22" s="1958"/>
      <c r="G22" s="1958"/>
      <c r="H22" s="1958"/>
      <c r="I22" s="682"/>
    </row>
    <row r="23" spans="1:25" ht="27.95" customHeight="1" x14ac:dyDescent="0.25">
      <c r="A23" s="1959" t="s">
        <v>760</v>
      </c>
      <c r="B23" s="1959"/>
      <c r="C23" s="1959"/>
      <c r="D23" s="1959"/>
      <c r="E23" s="1959"/>
      <c r="F23" s="1959"/>
      <c r="G23" s="1959"/>
      <c r="H23" s="1959"/>
      <c r="I23" s="1959"/>
      <c r="J23" s="1959"/>
      <c r="K23" s="1959"/>
    </row>
    <row r="24" spans="1:25" ht="18" customHeight="1" x14ac:dyDescent="0.25">
      <c r="A24" s="51"/>
      <c r="B24" s="51"/>
      <c r="C24" s="51"/>
      <c r="D24" s="51"/>
      <c r="E24" s="51"/>
      <c r="F24" s="51"/>
      <c r="G24" s="51"/>
      <c r="H24" s="51"/>
      <c r="I24" s="51"/>
      <c r="J24" s="51"/>
      <c r="K24" s="51"/>
    </row>
    <row r="25" spans="1:25" ht="27.95" customHeight="1" x14ac:dyDescent="0.25">
      <c r="A25" s="1973" t="str">
        <f>'DATOS ¬'!G8</f>
        <v>Laboratorios de calibración, avenida carrera  50 # 26-55, interior 2 del CAN, piso 5</v>
      </c>
      <c r="B25" s="1973"/>
      <c r="C25" s="1973"/>
      <c r="D25" s="1973"/>
      <c r="E25" s="1973"/>
      <c r="F25" s="1973"/>
      <c r="G25" s="1973"/>
      <c r="H25" s="1973"/>
      <c r="I25" s="1973"/>
      <c r="J25" s="1973"/>
      <c r="K25" s="1973"/>
    </row>
    <row r="26" spans="1:25" ht="26.1" customHeight="1" x14ac:dyDescent="0.25">
      <c r="A26" s="1974"/>
      <c r="B26" s="1974"/>
      <c r="C26" s="1974"/>
      <c r="D26" s="1974"/>
      <c r="E26" s="1974"/>
      <c r="F26" s="1974"/>
      <c r="G26" s="1974"/>
      <c r="H26" s="1974"/>
      <c r="I26" s="1974"/>
      <c r="J26" s="1974"/>
      <c r="K26" s="1974"/>
    </row>
    <row r="27" spans="1:25" ht="27.95" customHeight="1" x14ac:dyDescent="0.25">
      <c r="A27" s="1959" t="s">
        <v>761</v>
      </c>
      <c r="B27" s="1959"/>
      <c r="C27" s="1959"/>
      <c r="D27" s="1959"/>
      <c r="E27" s="1974">
        <f>'DATOS ¬'!J8</f>
        <v>0</v>
      </c>
      <c r="F27" s="1974"/>
      <c r="G27" s="53"/>
      <c r="H27" s="51"/>
      <c r="I27" s="51"/>
      <c r="J27" s="51"/>
      <c r="K27" s="51"/>
    </row>
    <row r="28" spans="1:25" ht="26.1" customHeight="1" x14ac:dyDescent="0.25">
      <c r="A28" s="51"/>
      <c r="B28" s="51"/>
      <c r="C28" s="51"/>
      <c r="D28" s="51"/>
      <c r="E28" s="51"/>
      <c r="F28" s="52"/>
      <c r="G28" s="52"/>
      <c r="H28" s="51"/>
      <c r="I28" s="51"/>
      <c r="J28" s="51"/>
      <c r="K28" s="51"/>
    </row>
    <row r="29" spans="1:25" ht="27.95" customHeight="1" x14ac:dyDescent="0.25">
      <c r="A29" s="1963" t="s">
        <v>762</v>
      </c>
      <c r="B29" s="1963"/>
      <c r="C29" s="1963"/>
      <c r="D29" s="1963"/>
      <c r="E29" s="1963"/>
      <c r="F29" s="1963"/>
      <c r="G29" s="1963"/>
      <c r="H29" s="1963"/>
      <c r="I29" s="307"/>
      <c r="J29" s="430"/>
      <c r="K29" s="51"/>
    </row>
    <row r="30" spans="1:25" ht="18" customHeight="1" x14ac:dyDescent="0.25">
      <c r="A30" s="55"/>
      <c r="B30" s="55"/>
      <c r="C30" s="55"/>
      <c r="D30" s="55"/>
      <c r="E30" s="55"/>
      <c r="F30" s="55"/>
      <c r="G30" s="55"/>
      <c r="H30" s="55"/>
      <c r="I30" s="55"/>
      <c r="J30" s="51"/>
      <c r="K30" s="51"/>
    </row>
    <row r="31" spans="1:25" ht="39.950000000000003" customHeight="1" x14ac:dyDescent="0.25">
      <c r="A31" s="1966" t="s">
        <v>763</v>
      </c>
      <c r="B31" s="1966"/>
      <c r="C31" s="1966"/>
      <c r="D31" s="1966"/>
      <c r="E31" s="1966"/>
      <c r="F31" s="1966"/>
      <c r="G31" s="1966"/>
      <c r="H31" s="1966"/>
      <c r="I31" s="1966"/>
      <c r="J31" s="1966"/>
      <c r="K31" s="1966"/>
      <c r="L31" s="1966"/>
    </row>
    <row r="32" spans="1:25" ht="20.100000000000001" customHeight="1" x14ac:dyDescent="0.25">
      <c r="A32" s="685"/>
      <c r="B32" s="685"/>
      <c r="C32" s="685"/>
      <c r="D32" s="685"/>
      <c r="E32" s="685"/>
      <c r="F32" s="685"/>
      <c r="G32" s="685"/>
      <c r="H32" s="685"/>
      <c r="I32" s="685"/>
      <c r="J32" s="685"/>
      <c r="K32" s="685"/>
      <c r="L32" s="685"/>
    </row>
    <row r="33" spans="1:12" ht="18" customHeight="1" x14ac:dyDescent="0.25">
      <c r="A33" s="686"/>
      <c r="B33" s="686"/>
      <c r="C33" s="686"/>
      <c r="D33" s="686"/>
      <c r="E33" s="686"/>
      <c r="F33" s="686"/>
      <c r="G33" s="686"/>
      <c r="H33" s="686"/>
      <c r="I33" s="686"/>
      <c r="J33" s="686"/>
      <c r="K33" s="686"/>
    </row>
    <row r="34" spans="1:12" ht="125.1" customHeight="1" x14ac:dyDescent="0.25">
      <c r="A34" s="686"/>
      <c r="B34" s="686"/>
      <c r="C34" s="686"/>
      <c r="D34" s="686"/>
      <c r="E34" s="686"/>
      <c r="F34" s="686"/>
      <c r="G34" s="686"/>
      <c r="H34" s="686"/>
      <c r="I34" s="686"/>
      <c r="J34" s="686"/>
      <c r="K34" s="686"/>
    </row>
    <row r="35" spans="1:12" ht="35.1" customHeight="1" x14ac:dyDescent="0.25">
      <c r="A35" s="686"/>
      <c r="B35" s="686"/>
      <c r="C35" s="686"/>
      <c r="D35" s="686"/>
      <c r="E35" s="686"/>
      <c r="F35" s="686"/>
      <c r="G35" s="686"/>
      <c r="H35" s="686"/>
      <c r="I35" s="686"/>
      <c r="J35" s="686"/>
      <c r="K35" s="686"/>
    </row>
    <row r="36" spans="1:12" ht="65.099999999999994" customHeight="1" x14ac:dyDescent="0.25">
      <c r="A36" s="687"/>
      <c r="B36" s="687"/>
      <c r="C36" s="687"/>
      <c r="D36" s="687"/>
      <c r="E36" s="687"/>
      <c r="F36" s="687"/>
      <c r="G36" s="687"/>
      <c r="H36" s="1967" t="s">
        <v>741</v>
      </c>
      <c r="I36" s="1967"/>
      <c r="J36" s="1970">
        <f>J3</f>
        <v>0</v>
      </c>
      <c r="K36" s="1970"/>
      <c r="L36" s="1970"/>
    </row>
    <row r="37" spans="1:12" ht="18" customHeight="1" x14ac:dyDescent="0.25">
      <c r="A37" s="687"/>
      <c r="B37" s="687"/>
      <c r="C37" s="687"/>
      <c r="D37" s="687"/>
      <c r="E37" s="687"/>
      <c r="F37" s="687"/>
      <c r="G37" s="687"/>
      <c r="H37" s="688"/>
      <c r="I37" s="689"/>
      <c r="J37" s="689"/>
      <c r="K37" s="677"/>
    </row>
    <row r="38" spans="1:12" ht="18" customHeight="1" x14ac:dyDescent="0.25">
      <c r="A38" s="687"/>
      <c r="B38" s="687"/>
      <c r="C38" s="687"/>
      <c r="D38" s="687"/>
      <c r="E38" s="687"/>
      <c r="F38" s="687"/>
      <c r="G38" s="687"/>
      <c r="H38" s="688"/>
      <c r="I38" s="689"/>
      <c r="J38" s="689"/>
      <c r="K38" s="677"/>
    </row>
    <row r="39" spans="1:12" ht="15.75" customHeight="1" x14ac:dyDescent="0.25">
      <c r="A39" s="687"/>
      <c r="B39" s="687"/>
      <c r="C39" s="687"/>
      <c r="D39" s="687"/>
      <c r="E39" s="687"/>
      <c r="F39" s="687"/>
      <c r="G39" s="687"/>
      <c r="H39" s="688"/>
      <c r="I39" s="689"/>
      <c r="J39" s="689"/>
      <c r="K39" s="677"/>
    </row>
    <row r="40" spans="1:12" s="692" customFormat="1" ht="23.1" customHeight="1" x14ac:dyDescent="0.2">
      <c r="A40" s="1964" t="s">
        <v>764</v>
      </c>
      <c r="B40" s="1964"/>
      <c r="C40" s="690"/>
      <c r="D40" s="690"/>
      <c r="E40" s="690"/>
      <c r="F40" s="690"/>
      <c r="G40" s="690"/>
      <c r="H40" s="690"/>
      <c r="I40" s="690"/>
      <c r="J40" s="691"/>
    </row>
    <row r="41" spans="1:12" s="692" customFormat="1" ht="24.95" customHeight="1" x14ac:dyDescent="0.2">
      <c r="A41" s="693"/>
      <c r="B41" s="690"/>
      <c r="C41" s="690"/>
      <c r="D41" s="690"/>
      <c r="E41" s="690"/>
      <c r="F41" s="690"/>
      <c r="G41" s="690"/>
      <c r="H41" s="690"/>
      <c r="I41" s="690"/>
      <c r="J41" s="691"/>
    </row>
    <row r="42" spans="1:12" s="692" customFormat="1" ht="24.95" customHeight="1" x14ac:dyDescent="0.2">
      <c r="A42" s="690"/>
      <c r="B42" s="694"/>
      <c r="C42" s="1965" t="s">
        <v>765</v>
      </c>
      <c r="D42" s="1965"/>
      <c r="E42" s="1965"/>
      <c r="F42" s="1965"/>
      <c r="G42" s="1965"/>
      <c r="H42" s="1965"/>
      <c r="I42" s="1965"/>
      <c r="J42" s="1965"/>
      <c r="K42" s="1965"/>
    </row>
    <row r="43" spans="1:12" s="692" customFormat="1" ht="12.95" customHeight="1" x14ac:dyDescent="0.2">
      <c r="A43" s="695"/>
      <c r="B43" s="695"/>
      <c r="C43" s="696"/>
      <c r="D43" s="696"/>
      <c r="E43" s="696"/>
      <c r="F43" s="696"/>
      <c r="G43" s="697"/>
      <c r="H43" s="696"/>
      <c r="I43" s="698"/>
      <c r="J43" s="698"/>
      <c r="K43" s="697"/>
    </row>
    <row r="44" spans="1:12" s="692" customFormat="1" ht="15.95" customHeight="1" x14ac:dyDescent="0.2">
      <c r="A44" s="690"/>
      <c r="B44" s="699"/>
      <c r="C44" s="1965" t="s">
        <v>766</v>
      </c>
      <c r="D44" s="1965"/>
      <c r="E44" s="1965"/>
      <c r="F44" s="1965"/>
      <c r="G44" s="1965"/>
      <c r="H44" s="1965"/>
      <c r="I44" s="1965"/>
      <c r="J44" s="1965"/>
      <c r="K44" s="1965"/>
    </row>
    <row r="45" spans="1:12" s="692" customFormat="1" ht="15.95" customHeight="1" x14ac:dyDescent="0.2">
      <c r="A45" s="690"/>
      <c r="B45" s="699"/>
      <c r="C45" s="1965"/>
      <c r="D45" s="1965"/>
      <c r="E45" s="1965"/>
      <c r="F45" s="1965"/>
      <c r="G45" s="1965"/>
      <c r="H45" s="1965"/>
      <c r="I45" s="1965"/>
      <c r="J45" s="1965"/>
      <c r="K45" s="1965"/>
    </row>
    <row r="46" spans="1:12" s="692" customFormat="1" ht="12.95" customHeight="1" x14ac:dyDescent="0.2">
      <c r="A46" s="690"/>
      <c r="B46" s="699"/>
      <c r="C46" s="700"/>
      <c r="D46" s="700"/>
      <c r="E46" s="700"/>
      <c r="F46" s="700"/>
      <c r="G46" s="700"/>
      <c r="H46" s="700"/>
      <c r="I46" s="700"/>
      <c r="J46" s="700"/>
      <c r="K46" s="700"/>
    </row>
    <row r="47" spans="1:12" s="692" customFormat="1" ht="24.95" customHeight="1" x14ac:dyDescent="0.2">
      <c r="A47" s="690"/>
      <c r="B47" s="690"/>
      <c r="C47" s="1965" t="s">
        <v>767</v>
      </c>
      <c r="D47" s="1965"/>
      <c r="E47" s="1965"/>
      <c r="F47" s="1965"/>
      <c r="G47" s="1965"/>
      <c r="H47" s="1965"/>
      <c r="I47" s="1965"/>
      <c r="J47" s="1965"/>
      <c r="K47" s="1965"/>
    </row>
    <row r="48" spans="1:12" s="692" customFormat="1" ht="12.95" customHeight="1" x14ac:dyDescent="0.2">
      <c r="A48" s="690"/>
      <c r="B48" s="690"/>
      <c r="C48" s="700"/>
      <c r="D48" s="700"/>
      <c r="E48" s="700"/>
      <c r="F48" s="700"/>
      <c r="G48" s="700"/>
      <c r="H48" s="700"/>
      <c r="I48" s="700"/>
      <c r="J48" s="700"/>
      <c r="K48" s="700"/>
    </row>
    <row r="49" spans="1:12" s="692" customFormat="1" ht="24.95" customHeight="1" x14ac:dyDescent="0.2">
      <c r="A49" s="690"/>
      <c r="B49" s="690"/>
      <c r="C49" s="1965" t="s">
        <v>768</v>
      </c>
      <c r="D49" s="1965"/>
      <c r="E49" s="1965"/>
      <c r="F49" s="1965"/>
      <c r="G49" s="1965"/>
      <c r="H49" s="1965"/>
      <c r="I49" s="1965"/>
      <c r="J49" s="1965"/>
      <c r="K49" s="1965"/>
    </row>
    <row r="50" spans="1:12" s="692" customFormat="1" ht="12.95" customHeight="1" x14ac:dyDescent="0.2">
      <c r="A50" s="690"/>
      <c r="B50" s="690"/>
      <c r="C50" s="700"/>
      <c r="D50" s="700"/>
      <c r="E50" s="700"/>
      <c r="F50" s="700"/>
      <c r="G50" s="700"/>
      <c r="H50" s="700"/>
      <c r="I50" s="700"/>
      <c r="J50" s="700"/>
      <c r="K50" s="700"/>
    </row>
    <row r="51" spans="1:12" s="692" customFormat="1" ht="24.95" customHeight="1" x14ac:dyDescent="0.2">
      <c r="A51" s="690"/>
      <c r="B51" s="690"/>
      <c r="C51" s="1965" t="s">
        <v>769</v>
      </c>
      <c r="D51" s="1965"/>
      <c r="E51" s="1965"/>
      <c r="F51" s="1965"/>
      <c r="G51" s="1965"/>
      <c r="H51" s="1965"/>
      <c r="I51" s="1965"/>
      <c r="J51" s="1965"/>
      <c r="K51" s="1965"/>
    </row>
    <row r="52" spans="1:12" s="692" customFormat="1" ht="12.95" customHeight="1" x14ac:dyDescent="0.2">
      <c r="A52" s="690"/>
      <c r="B52" s="690"/>
      <c r="C52" s="1965"/>
      <c r="D52" s="1965"/>
      <c r="E52" s="1965"/>
      <c r="F52" s="1965"/>
      <c r="G52" s="1965"/>
      <c r="H52" s="1965"/>
      <c r="I52" s="1965"/>
      <c r="J52" s="1965"/>
      <c r="K52" s="700"/>
    </row>
    <row r="53" spans="1:12" s="692" customFormat="1" ht="24.95" customHeight="1" x14ac:dyDescent="0.2">
      <c r="A53" s="690"/>
      <c r="B53" s="692" t="s">
        <v>770</v>
      </c>
      <c r="C53" s="1965" t="s">
        <v>771</v>
      </c>
      <c r="D53" s="1965"/>
      <c r="E53" s="1965"/>
      <c r="F53" s="1965"/>
      <c r="G53" s="1965"/>
      <c r="H53" s="1965"/>
      <c r="I53" s="1965"/>
      <c r="J53" s="1965"/>
      <c r="K53" s="1965"/>
    </row>
    <row r="54" spans="1:12" s="692" customFormat="1" ht="12.95" customHeight="1" x14ac:dyDescent="0.2">
      <c r="A54" s="690"/>
      <c r="C54" s="1965"/>
      <c r="D54" s="1965"/>
      <c r="E54" s="1965"/>
      <c r="F54" s="1965"/>
      <c r="G54" s="1965"/>
      <c r="H54" s="1965"/>
      <c r="I54" s="1965"/>
      <c r="J54" s="1965"/>
      <c r="K54" s="700"/>
    </row>
    <row r="55" spans="1:12" s="692" customFormat="1" ht="24.95" customHeight="1" x14ac:dyDescent="0.2">
      <c r="A55" s="690"/>
      <c r="B55" s="690"/>
      <c r="C55" s="1965" t="s">
        <v>772</v>
      </c>
      <c r="D55" s="1965"/>
      <c r="E55" s="1965"/>
      <c r="F55" s="1965"/>
      <c r="G55" s="1965"/>
      <c r="H55" s="1965"/>
      <c r="I55" s="1965"/>
      <c r="J55" s="1965"/>
      <c r="K55" s="1965"/>
    </row>
    <row r="56" spans="1:12" s="692" customFormat="1" ht="12.95" customHeight="1" x14ac:dyDescent="0.2">
      <c r="A56" s="690"/>
      <c r="B56" s="690"/>
      <c r="C56" s="1965"/>
      <c r="D56" s="1965"/>
      <c r="E56" s="1965"/>
      <c r="F56" s="1965"/>
      <c r="G56" s="1965"/>
      <c r="H56" s="1965"/>
      <c r="I56" s="1965"/>
      <c r="J56" s="1965"/>
      <c r="K56" s="700"/>
    </row>
    <row r="57" spans="1:12" s="692" customFormat="1" ht="24.95" customHeight="1" x14ac:dyDescent="0.2">
      <c r="A57" s="690"/>
      <c r="B57" s="690"/>
      <c r="C57" s="1965" t="s">
        <v>773</v>
      </c>
      <c r="D57" s="1965"/>
      <c r="E57" s="1965"/>
      <c r="F57" s="1965"/>
      <c r="G57" s="1965"/>
      <c r="H57" s="1965"/>
      <c r="I57" s="1965"/>
      <c r="J57" s="1965"/>
      <c r="K57" s="1965"/>
    </row>
    <row r="58" spans="1:12" s="692" customFormat="1" ht="12.95" customHeight="1" x14ac:dyDescent="0.2">
      <c r="A58" s="690"/>
      <c r="B58" s="690"/>
      <c r="C58" s="1965"/>
      <c r="D58" s="1965"/>
      <c r="E58" s="1965"/>
      <c r="F58" s="1965"/>
      <c r="G58" s="1965"/>
      <c r="H58" s="1965"/>
      <c r="I58" s="1965"/>
      <c r="J58" s="1965"/>
      <c r="K58" s="700"/>
    </row>
    <row r="59" spans="1:12" s="692" customFormat="1" ht="24.95" customHeight="1" x14ac:dyDescent="0.2">
      <c r="A59" s="690"/>
      <c r="B59" s="690"/>
      <c r="C59" s="1759" t="s">
        <v>774</v>
      </c>
      <c r="D59" s="1759"/>
      <c r="E59" s="1759"/>
      <c r="F59" s="1759"/>
      <c r="G59" s="1759"/>
      <c r="H59" s="53" t="str">
        <f>CONCATENATE('DATOS ¬'!F15," ",'DATOS ¬'!F14)</f>
        <v xml:space="preserve"> °C</v>
      </c>
      <c r="I59" s="53"/>
      <c r="J59" s="53"/>
      <c r="K59" s="53"/>
    </row>
    <row r="60" spans="1:12" s="692" customFormat="1" ht="12.95" customHeight="1" x14ac:dyDescent="0.25">
      <c r="A60" s="690"/>
      <c r="B60" s="690"/>
      <c r="C60" s="691"/>
      <c r="D60" s="691"/>
      <c r="E60" s="691"/>
      <c r="F60" s="691"/>
      <c r="G60" s="691"/>
      <c r="H60" s="691"/>
      <c r="I60" s="701"/>
      <c r="J60" s="701"/>
      <c r="K60" s="434"/>
      <c r="L60" s="434"/>
    </row>
    <row r="61" spans="1:12" ht="24.95" customHeight="1" x14ac:dyDescent="0.25">
      <c r="A61" s="690"/>
      <c r="B61" s="690"/>
      <c r="C61" s="691"/>
      <c r="D61" s="691"/>
      <c r="E61" s="691"/>
      <c r="F61" s="691"/>
      <c r="G61" s="691"/>
      <c r="H61" s="691"/>
      <c r="I61" s="701"/>
      <c r="J61" s="701"/>
    </row>
    <row r="62" spans="1:12" ht="27.95" customHeight="1" x14ac:dyDescent="0.25">
      <c r="A62" s="1963" t="s">
        <v>775</v>
      </c>
      <c r="B62" s="1963"/>
      <c r="C62" s="1963"/>
      <c r="D62" s="1963"/>
      <c r="E62" s="1963"/>
      <c r="F62" s="682"/>
      <c r="G62" s="682"/>
    </row>
    <row r="63" spans="1:12" ht="15.95" customHeight="1" x14ac:dyDescent="0.25">
      <c r="A63" s="702"/>
      <c r="B63" s="702"/>
      <c r="C63" s="702"/>
      <c r="D63" s="702"/>
      <c r="E63" s="702"/>
      <c r="F63" s="682"/>
      <c r="G63" s="682"/>
      <c r="H63" s="682"/>
      <c r="I63" s="682"/>
      <c r="J63" s="703"/>
    </row>
    <row r="64" spans="1:12" ht="27.95" customHeight="1" x14ac:dyDescent="0.25">
      <c r="A64" s="1954" t="s">
        <v>776</v>
      </c>
      <c r="B64" s="1954"/>
      <c r="C64" s="1954"/>
      <c r="D64" s="1954"/>
      <c r="E64" s="1954"/>
      <c r="F64" s="1954"/>
      <c r="G64" s="1954"/>
      <c r="H64" s="1954"/>
      <c r="I64" s="1954"/>
      <c r="J64" s="1954"/>
      <c r="K64" s="1954"/>
      <c r="L64" s="1954"/>
    </row>
    <row r="65" spans="1:12" ht="24.95" customHeight="1" thickBot="1" x14ac:dyDescent="0.3">
      <c r="A65" s="704"/>
      <c r="B65" s="704"/>
      <c r="C65" s="704"/>
      <c r="D65" s="704"/>
      <c r="E65" s="704"/>
      <c r="F65" s="704"/>
      <c r="G65" s="704"/>
      <c r="H65" s="704"/>
      <c r="I65" s="704"/>
      <c r="J65" s="704"/>
      <c r="K65" s="704"/>
    </row>
    <row r="66" spans="1:12" ht="54.95" customHeight="1" thickBot="1" x14ac:dyDescent="0.3">
      <c r="A66" s="55"/>
      <c r="B66" s="55"/>
      <c r="C66" s="1734" t="s">
        <v>455</v>
      </c>
      <c r="D66" s="1736"/>
      <c r="E66" s="1734" t="s">
        <v>777</v>
      </c>
      <c r="F66" s="1736"/>
      <c r="G66" s="1734" t="s">
        <v>778</v>
      </c>
      <c r="H66" s="1736"/>
      <c r="I66" s="55"/>
      <c r="J66" s="686"/>
      <c r="K66" s="51"/>
    </row>
    <row r="67" spans="1:12" ht="54.95" customHeight="1" thickBot="1" x14ac:dyDescent="0.3">
      <c r="A67" s="55"/>
      <c r="B67" s="778"/>
      <c r="C67" s="705" t="s">
        <v>779</v>
      </c>
      <c r="D67" s="706" t="s">
        <v>780</v>
      </c>
      <c r="E67" s="705" t="s">
        <v>779</v>
      </c>
      <c r="F67" s="706" t="s">
        <v>781</v>
      </c>
      <c r="G67" s="705" t="s">
        <v>779</v>
      </c>
      <c r="H67" s="706" t="s">
        <v>781</v>
      </c>
      <c r="I67" s="1783"/>
      <c r="J67" s="1783"/>
      <c r="K67" s="51"/>
    </row>
    <row r="68" spans="1:12" ht="54.95" customHeight="1" thickBot="1" x14ac:dyDescent="0.3">
      <c r="A68" s="307"/>
      <c r="B68" s="779" t="s">
        <v>62</v>
      </c>
      <c r="C68" s="707" t="e">
        <f>VLOOKUP($B$68,'DATOS ¬'!Q26:W28,2,FALSE)</f>
        <v>#N/A</v>
      </c>
      <c r="D68" s="708" t="e">
        <f>VLOOKUP($B$68,'DATOS ¬'!Q26:W28,3,FALSE)</f>
        <v>#N/A</v>
      </c>
      <c r="E68" s="708" t="e">
        <f>VLOOKUP($B$68,'DATOS ¬'!Q26:W28,4,FALSE)</f>
        <v>#N/A</v>
      </c>
      <c r="F68" s="708" t="e">
        <f>VLOOKUP($B$68,'DATOS ¬'!Q26:W28,5,FALSE)</f>
        <v>#N/A</v>
      </c>
      <c r="G68" s="709" t="e">
        <f>VLOOKUP($B$68,'DATOS ¬'!Q26:W28,6,FALSE)</f>
        <v>#N/A</v>
      </c>
      <c r="H68" s="710" t="e">
        <f>VLOOKUP($B$68,'DATOS ¬'!Q26:W28,7,FALSE)</f>
        <v>#N/A</v>
      </c>
      <c r="I68" s="1978"/>
      <c r="J68" s="1978"/>
      <c r="K68" s="51"/>
    </row>
    <row r="69" spans="1:12" ht="32.1" customHeight="1" x14ac:dyDescent="0.25">
      <c r="A69" s="682"/>
    </row>
    <row r="70" spans="1:12" ht="125.1" customHeight="1" x14ac:dyDescent="0.25">
      <c r="A70" s="682"/>
    </row>
    <row r="71" spans="1:12" ht="35.1" customHeight="1" x14ac:dyDescent="0.25">
      <c r="A71" s="682"/>
    </row>
    <row r="72" spans="1:12" ht="65.099999999999994" customHeight="1" x14ac:dyDescent="0.25">
      <c r="A72" s="682"/>
      <c r="H72" s="1969" t="s">
        <v>741</v>
      </c>
      <c r="I72" s="1969"/>
      <c r="J72" s="1970">
        <f>J3</f>
        <v>0</v>
      </c>
      <c r="K72" s="1970"/>
      <c r="L72" s="1970"/>
    </row>
    <row r="73" spans="1:12" ht="24.95" customHeight="1" x14ac:dyDescent="0.25">
      <c r="A73" s="1963" t="s">
        <v>782</v>
      </c>
      <c r="B73" s="1963"/>
      <c r="C73" s="1963"/>
      <c r="D73" s="1963"/>
      <c r="E73" s="1963"/>
      <c r="F73" s="55"/>
      <c r="G73" s="55"/>
      <c r="H73" s="55"/>
      <c r="I73" s="55"/>
      <c r="J73" s="711"/>
      <c r="K73" s="51"/>
    </row>
    <row r="74" spans="1:12" ht="9.9499999999999993" customHeight="1" x14ac:dyDescent="0.25">
      <c r="A74" s="430"/>
      <c r="B74" s="55"/>
      <c r="C74" s="55"/>
      <c r="D74" s="55"/>
      <c r="E74" s="55"/>
      <c r="F74" s="55"/>
      <c r="G74" s="55"/>
      <c r="H74" s="55"/>
      <c r="I74" s="55"/>
      <c r="J74" s="686"/>
      <c r="K74" s="51"/>
    </row>
    <row r="75" spans="1:12" ht="45" customHeight="1" x14ac:dyDescent="0.25">
      <c r="A75" s="1966" t="s">
        <v>783</v>
      </c>
      <c r="B75" s="1966"/>
      <c r="C75" s="1966"/>
      <c r="D75" s="1966"/>
      <c r="E75" s="1966"/>
      <c r="F75" s="1966"/>
      <c r="G75" s="1966"/>
      <c r="H75" s="1966"/>
      <c r="I75" s="1966"/>
      <c r="J75" s="1966"/>
      <c r="K75" s="1966"/>
      <c r="L75" s="1966"/>
    </row>
    <row r="76" spans="1:12" ht="15.95" customHeight="1" x14ac:dyDescent="0.25">
      <c r="A76" s="712"/>
      <c r="B76" s="712"/>
      <c r="C76" s="712"/>
      <c r="D76" s="712"/>
      <c r="E76" s="712"/>
      <c r="F76" s="712"/>
      <c r="G76" s="712"/>
      <c r="H76" s="712"/>
      <c r="I76" s="712"/>
      <c r="J76" s="712"/>
      <c r="K76" s="51"/>
    </row>
    <row r="77" spans="1:12" s="713" customFormat="1" ht="24.95" customHeight="1" x14ac:dyDescent="0.3">
      <c r="A77" s="1963" t="s">
        <v>784</v>
      </c>
      <c r="B77" s="1963"/>
      <c r="C77" s="1963"/>
      <c r="D77" s="1963"/>
      <c r="E77" s="1963"/>
      <c r="F77" s="55"/>
      <c r="G77" s="55"/>
      <c r="H77" s="51"/>
      <c r="I77" s="51"/>
      <c r="J77" s="686"/>
      <c r="K77" s="51"/>
    </row>
    <row r="78" spans="1:12" ht="9.9499999999999993" customHeight="1" x14ac:dyDescent="0.25">
      <c r="A78" s="714"/>
      <c r="B78" s="714"/>
      <c r="C78" s="714"/>
      <c r="D78" s="714"/>
      <c r="E78" s="714"/>
      <c r="F78" s="55"/>
      <c r="G78" s="55"/>
      <c r="H78" s="51"/>
      <c r="I78" s="51"/>
      <c r="J78" s="686"/>
      <c r="K78" s="51"/>
    </row>
    <row r="79" spans="1:12" ht="42.75" customHeight="1" x14ac:dyDescent="0.25">
      <c r="A79" s="1966" t="s">
        <v>785</v>
      </c>
      <c r="B79" s="1966"/>
      <c r="C79" s="1966"/>
      <c r="D79" s="1966"/>
      <c r="E79" s="1966"/>
      <c r="F79" s="1966"/>
      <c r="G79" s="1966"/>
      <c r="H79" s="1966"/>
      <c r="I79" s="1966"/>
      <c r="J79" s="1966"/>
      <c r="K79" s="1966"/>
      <c r="L79" s="1966"/>
    </row>
    <row r="80" spans="1:12" ht="15.95" customHeight="1" thickBot="1" x14ac:dyDescent="0.3">
      <c r="A80" s="715"/>
      <c r="B80" s="715"/>
      <c r="C80" s="715"/>
      <c r="D80" s="715"/>
      <c r="E80" s="715"/>
      <c r="F80" s="715"/>
      <c r="G80" s="715"/>
      <c r="H80" s="715"/>
      <c r="I80" s="715"/>
      <c r="J80" s="715"/>
    </row>
    <row r="81" spans="1:12" ht="33" customHeight="1" thickBot="1" x14ac:dyDescent="0.3">
      <c r="A81" s="1975" t="s">
        <v>337</v>
      </c>
      <c r="B81" s="1976"/>
      <c r="C81" s="1977"/>
      <c r="D81" s="716" t="s">
        <v>24</v>
      </c>
      <c r="E81" s="1975" t="s">
        <v>338</v>
      </c>
      <c r="F81" s="1977"/>
      <c r="G81" s="1975" t="s">
        <v>339</v>
      </c>
      <c r="H81" s="1976"/>
      <c r="I81" s="1975" t="s">
        <v>340</v>
      </c>
      <c r="J81" s="1977"/>
      <c r="K81" s="717"/>
    </row>
    <row r="82" spans="1:12" ht="39.950000000000003" customHeight="1" x14ac:dyDescent="0.25">
      <c r="A82" s="1990" t="str">
        <f>'DATOS ¬'!N221</f>
        <v>Instrumento de pesaje de funcionamiento no automático-IPFNA</v>
      </c>
      <c r="B82" s="1991"/>
      <c r="C82" s="1991"/>
      <c r="D82" s="718" t="e">
        <f>'DATOS ¬'!Q221</f>
        <v>#N/A</v>
      </c>
      <c r="E82" s="1992" t="e">
        <f>'DATOS ¬'!R221</f>
        <v>#N/A</v>
      </c>
      <c r="F82" s="1992"/>
      <c r="G82" s="1993" t="e">
        <f>'DATOS ¬'!T221</f>
        <v>#N/A</v>
      </c>
      <c r="H82" s="1992"/>
      <c r="I82" s="1993" t="e">
        <f>'DATOS ¬'!V221</f>
        <v>#N/A</v>
      </c>
      <c r="J82" s="1994"/>
      <c r="K82" s="717"/>
    </row>
    <row r="83" spans="1:12" ht="39.950000000000003" customHeight="1" x14ac:dyDescent="0.25">
      <c r="A83" s="1979" t="str">
        <f>'DATOS ¬'!N222</f>
        <v>Termómetro digital con PRT Pt100</v>
      </c>
      <c r="B83" s="1980"/>
      <c r="C83" s="1980"/>
      <c r="D83" s="719" t="e">
        <f>'DATOS ¬'!Q222</f>
        <v>#N/A</v>
      </c>
      <c r="E83" s="1982" t="e">
        <f>'DATOS ¬'!R222</f>
        <v>#N/A</v>
      </c>
      <c r="F83" s="1982"/>
      <c r="G83" s="1981" t="e">
        <f>'DATOS ¬'!T222</f>
        <v>#N/A</v>
      </c>
      <c r="H83" s="1982"/>
      <c r="I83" s="1981" t="e">
        <f>'DATOS ¬'!V222</f>
        <v>#N/A</v>
      </c>
      <c r="J83" s="1983"/>
      <c r="K83" s="717"/>
    </row>
    <row r="84" spans="1:12" ht="71.25" customHeight="1" x14ac:dyDescent="0.25">
      <c r="A84" s="1979" t="str">
        <f>'DATOS ¬'!N223</f>
        <v>Termohigrómetro</v>
      </c>
      <c r="B84" s="1980"/>
      <c r="C84" s="1980"/>
      <c r="D84" s="719" t="e">
        <f>'DATOS ¬'!Q223</f>
        <v>#N/A</v>
      </c>
      <c r="E84" s="1980" t="str">
        <f>'DATOS ¬'!R223</f>
        <v xml:space="preserve">
Temperatura: -20 °C a 50 °C
Humedad Relativa: 0 %hr a 100 %hr
Presión aire: 300 hPa a 1 100 hPa</v>
      </c>
      <c r="F84" s="1980"/>
      <c r="G84" s="1981" t="e">
        <f>'DATOS ¬'!T223</f>
        <v>#N/A</v>
      </c>
      <c r="H84" s="1982"/>
      <c r="I84" s="1981" t="e">
        <f>'DATOS ¬'!V223</f>
        <v>#N/A</v>
      </c>
      <c r="J84" s="1983"/>
      <c r="K84" s="717"/>
    </row>
    <row r="85" spans="1:12" ht="39.950000000000003" customHeight="1" thickBot="1" x14ac:dyDescent="0.3">
      <c r="A85" s="1984" t="str">
        <f>'DATOS ¬'!N224</f>
        <v>Agua grado 3</v>
      </c>
      <c r="B85" s="1985"/>
      <c r="C85" s="1985"/>
      <c r="D85" s="720" t="str">
        <f>'DATOS ¬'!Q224</f>
        <v>N/A</v>
      </c>
      <c r="E85" s="1986" t="str">
        <f>'DATOS ¬'!R224</f>
        <v>N/A</v>
      </c>
      <c r="F85" s="1986"/>
      <c r="G85" s="1987" t="str">
        <f>'DATOS ¬'!T224</f>
        <v>N/A</v>
      </c>
      <c r="H85" s="1986"/>
      <c r="I85" s="1988" t="str">
        <f>'DATOS ¬'!V224</f>
        <v>Laboratorio SIC.</v>
      </c>
      <c r="J85" s="1989"/>
      <c r="K85" s="721"/>
    </row>
    <row r="86" spans="1:12" ht="24.95" customHeight="1" x14ac:dyDescent="0.25">
      <c r="B86" s="682"/>
      <c r="C86" s="682"/>
      <c r="D86" s="503"/>
      <c r="E86" s="503"/>
      <c r="F86" s="683"/>
      <c r="G86" s="503"/>
      <c r="H86" s="503"/>
      <c r="I86" s="503"/>
      <c r="J86" s="503"/>
      <c r="K86" s="722"/>
      <c r="L86" s="722"/>
    </row>
    <row r="87" spans="1:12" s="713" customFormat="1" ht="24.95" customHeight="1" x14ac:dyDescent="0.3">
      <c r="A87" s="1963" t="s">
        <v>786</v>
      </c>
      <c r="B87" s="1963"/>
      <c r="C87" s="1963"/>
      <c r="D87" s="1963"/>
      <c r="E87" s="1963"/>
      <c r="F87" s="1963"/>
      <c r="G87" s="1963"/>
      <c r="H87" s="1963"/>
      <c r="I87" s="1963"/>
      <c r="J87" s="1963"/>
      <c r="K87" s="1963"/>
      <c r="L87" s="723"/>
    </row>
    <row r="88" spans="1:12" s="713" customFormat="1" ht="12" customHeight="1" x14ac:dyDescent="0.3">
      <c r="A88" s="724"/>
      <c r="B88" s="724"/>
      <c r="C88" s="724"/>
      <c r="D88" s="724"/>
      <c r="E88" s="724"/>
      <c r="F88" s="695"/>
      <c r="G88" s="695"/>
      <c r="H88" s="695"/>
      <c r="I88" s="695"/>
      <c r="J88" s="725"/>
      <c r="K88" s="723"/>
      <c r="L88" s="723"/>
    </row>
    <row r="89" spans="1:12" ht="15" hidden="1" customHeight="1" thickBot="1" x14ac:dyDescent="0.3">
      <c r="A89" s="2001" t="s">
        <v>629</v>
      </c>
      <c r="B89" s="2001"/>
      <c r="C89" s="2001"/>
      <c r="D89" s="2001"/>
      <c r="E89" s="2001"/>
      <c r="F89" s="2001"/>
      <c r="G89" s="2001"/>
      <c r="H89" s="2001"/>
      <c r="I89" s="2001"/>
      <c r="J89" s="725"/>
      <c r="K89" s="722"/>
      <c r="L89" s="722"/>
    </row>
    <row r="90" spans="1:12" ht="30" hidden="1" customHeight="1" thickBot="1" x14ac:dyDescent="0.3">
      <c r="A90" s="2002" t="s">
        <v>787</v>
      </c>
      <c r="B90" s="2003"/>
      <c r="C90" s="2002" t="s">
        <v>788</v>
      </c>
      <c r="D90" s="2004"/>
      <c r="E90" s="2003"/>
      <c r="F90" s="2002" t="s">
        <v>789</v>
      </c>
      <c r="G90" s="2003"/>
      <c r="H90" s="726" t="s">
        <v>790</v>
      </c>
      <c r="I90" s="727"/>
      <c r="J90" s="728" t="s">
        <v>791</v>
      </c>
      <c r="K90" s="729" t="s">
        <v>792</v>
      </c>
    </row>
    <row r="91" spans="1:12" s="722" customFormat="1" ht="24" hidden="1" customHeight="1" thickBot="1" x14ac:dyDescent="0.3">
      <c r="A91" s="2005" t="str">
        <f>H59</f>
        <v xml:space="preserve"> °C</v>
      </c>
      <c r="B91" s="2006"/>
      <c r="C91" s="2011" t="e">
        <f>'RT03-F52 ¬ '!C52</f>
        <v>#N/A</v>
      </c>
      <c r="D91" s="2011"/>
      <c r="E91" s="730" t="s">
        <v>203</v>
      </c>
      <c r="F91" s="731" t="e">
        <f>'RT03-F52 ¬ '!B194</f>
        <v>#N/A</v>
      </c>
      <c r="G91" s="730" t="s">
        <v>203</v>
      </c>
      <c r="H91" s="775" t="e">
        <f>IF('RT03-F52 ¬ '!E194&lt;='CMC ¬'!D12,'CMC ¬'!D12,'RT03-F52 ¬ '!E194)</f>
        <v>#N/A</v>
      </c>
      <c r="I91" s="730" t="s">
        <v>203</v>
      </c>
      <c r="J91" s="733" t="e">
        <f>'RT03-F52 ¬ '!H194</f>
        <v>#N/A</v>
      </c>
      <c r="K91" s="2012" t="e">
        <f>IF(AND('PC ¬'!H5&gt;=97.5%,'PC ¬'!I5&lt;=2.5%),"SI","NO")</f>
        <v>#N/A</v>
      </c>
    </row>
    <row r="92" spans="1:12" s="722" customFormat="1" ht="24" hidden="1" customHeight="1" thickBot="1" x14ac:dyDescent="0.3">
      <c r="A92" s="2007"/>
      <c r="B92" s="2008"/>
      <c r="C92" s="2015" t="e">
        <f>C91/16.38706</f>
        <v>#N/A</v>
      </c>
      <c r="D92" s="2015"/>
      <c r="E92" s="734" t="s">
        <v>793</v>
      </c>
      <c r="F92" s="735" t="e">
        <f>'RT03-F52 ¬ '!B195</f>
        <v>#N/A</v>
      </c>
      <c r="G92" s="736" t="s">
        <v>793</v>
      </c>
      <c r="H92" s="732" t="e">
        <f>IF('RT03-F52 ¬ '!E195&lt;='CMC ¬'!E12,'CMC ¬'!E12,'RT03-F52 ¬ '!E195)</f>
        <v>#N/A</v>
      </c>
      <c r="I92" s="736" t="s">
        <v>793</v>
      </c>
      <c r="J92" s="737" t="e">
        <f>'RT03-F52 ¬ '!H195</f>
        <v>#N/A</v>
      </c>
      <c r="K92" s="2013"/>
    </row>
    <row r="93" spans="1:12" s="722" customFormat="1" ht="24" hidden="1" customHeight="1" thickBot="1" x14ac:dyDescent="0.3">
      <c r="A93" s="2007"/>
      <c r="B93" s="2008"/>
      <c r="C93" s="1996" t="e">
        <f>(C91/1000)/3.785412</f>
        <v>#N/A</v>
      </c>
      <c r="D93" s="2016"/>
      <c r="E93" s="734" t="s">
        <v>469</v>
      </c>
      <c r="F93" s="776" t="e">
        <f>'RT03-F52 ¬ '!B196</f>
        <v>#N/A</v>
      </c>
      <c r="G93" s="736" t="s">
        <v>469</v>
      </c>
      <c r="H93" s="753" t="e">
        <f>IF('RT03-F52 ¬ '!E196&lt;='CMC ¬'!F12,'CMC ¬'!F12,'RT03-F52 ¬ '!E196)</f>
        <v>#N/A</v>
      </c>
      <c r="I93" s="736" t="s">
        <v>469</v>
      </c>
      <c r="J93" s="738" t="e">
        <f>'RT03-F52 ¬ '!H196</f>
        <v>#N/A</v>
      </c>
      <c r="K93" s="2013"/>
    </row>
    <row r="94" spans="1:12" ht="24" hidden="1" customHeight="1" thickBot="1" x14ac:dyDescent="0.3">
      <c r="A94" s="2009"/>
      <c r="B94" s="2010"/>
      <c r="C94" s="1997">
        <v>100</v>
      </c>
      <c r="D94" s="1998"/>
      <c r="E94" s="734" t="s">
        <v>499</v>
      </c>
      <c r="F94" s="755" t="e">
        <f>'RT03-F52 ¬ '!B197</f>
        <v>#N/A</v>
      </c>
      <c r="G94" s="734" t="s">
        <v>499</v>
      </c>
      <c r="H94" s="756" t="e">
        <f>IF('RT03-F52 ¬ '!E197&lt;='CMC ¬'!G12,'CMC ¬'!G12,'RT03-F52 ¬ '!E197)</f>
        <v>#N/A</v>
      </c>
      <c r="I94" s="736" t="s">
        <v>499</v>
      </c>
      <c r="J94" s="739" t="e">
        <f>'RT03-F52 ¬ '!H197</f>
        <v>#N/A</v>
      </c>
      <c r="K94" s="2014"/>
    </row>
    <row r="95" spans="1:12" ht="20.100000000000001" hidden="1" customHeight="1" x14ac:dyDescent="0.25">
      <c r="A95" s="740"/>
      <c r="B95" s="741"/>
      <c r="C95" s="742"/>
      <c r="D95" s="742"/>
      <c r="E95" s="743"/>
      <c r="F95" s="744"/>
      <c r="G95" s="743"/>
      <c r="H95" s="745"/>
      <c r="I95" s="745"/>
      <c r="J95" s="745"/>
      <c r="K95" s="745"/>
      <c r="L95" s="745"/>
    </row>
    <row r="96" spans="1:12" ht="15" hidden="1" customHeight="1" thickBot="1" x14ac:dyDescent="0.3">
      <c r="A96" s="746" t="s">
        <v>630</v>
      </c>
      <c r="B96" s="746"/>
      <c r="C96" s="746"/>
      <c r="D96" s="746"/>
      <c r="E96" s="746"/>
      <c r="F96" s="746"/>
      <c r="G96" s="746"/>
      <c r="H96" s="746"/>
      <c r="I96" s="746"/>
      <c r="J96" s="746"/>
      <c r="K96" s="746"/>
      <c r="L96" s="746"/>
    </row>
    <row r="97" spans="1:12" s="717" customFormat="1" ht="30" hidden="1" customHeight="1" thickBot="1" x14ac:dyDescent="0.25">
      <c r="A97" s="726" t="s">
        <v>787</v>
      </c>
      <c r="B97" s="747"/>
      <c r="C97" s="726" t="s">
        <v>788</v>
      </c>
      <c r="D97" s="747"/>
      <c r="E97" s="726"/>
      <c r="F97" s="2002" t="s">
        <v>789</v>
      </c>
      <c r="G97" s="2004"/>
      <c r="H97" s="726" t="s">
        <v>794</v>
      </c>
      <c r="I97" s="727"/>
      <c r="J97" s="728" t="s">
        <v>795</v>
      </c>
      <c r="K97" s="729" t="s">
        <v>792</v>
      </c>
    </row>
    <row r="98" spans="1:12" ht="24" hidden="1" customHeight="1" thickBot="1" x14ac:dyDescent="0.3">
      <c r="A98" s="2005" t="str">
        <f>H59</f>
        <v xml:space="preserve"> °C</v>
      </c>
      <c r="B98" s="2006"/>
      <c r="C98" s="2011" t="e">
        <f>C91</f>
        <v>#N/A</v>
      </c>
      <c r="D98" s="2011"/>
      <c r="E98" s="734" t="s">
        <v>203</v>
      </c>
      <c r="F98" s="748" t="e">
        <f>'Despues de ajuste RT03-F52 ¬'!B194</f>
        <v>#N/A</v>
      </c>
      <c r="G98" s="749" t="s">
        <v>203</v>
      </c>
      <c r="H98" s="732" t="e">
        <f>IF('Despues de ajuste RT03-F52 ¬'!E194&lt;='CMC ¬'!D12,'CMC ¬'!D12,'Despues de ajuste RT03-F52 ¬'!E194)</f>
        <v>#N/A</v>
      </c>
      <c r="I98" s="734" t="s">
        <v>203</v>
      </c>
      <c r="J98" s="750" t="e">
        <f>'Despues de ajuste RT03-F52 ¬'!H194</f>
        <v>#N/A</v>
      </c>
      <c r="K98" s="2023" t="e">
        <f>IF(AND('PC ¬'!H11&gt;=97.5%,'PC ¬'!I11&lt;=2.5%),"SI","NO")</f>
        <v>#N/A</v>
      </c>
    </row>
    <row r="99" spans="1:12" ht="24" hidden="1" customHeight="1" thickBot="1" x14ac:dyDescent="0.3">
      <c r="A99" s="2007"/>
      <c r="B99" s="2008"/>
      <c r="C99" s="2015" t="e">
        <f>C92</f>
        <v>#N/A</v>
      </c>
      <c r="D99" s="2015"/>
      <c r="E99" s="734" t="s">
        <v>796</v>
      </c>
      <c r="F99" s="735" t="e">
        <f>'Despues de ajuste RT03-F52 ¬'!B195</f>
        <v>#N/A</v>
      </c>
      <c r="G99" s="749" t="s">
        <v>793</v>
      </c>
      <c r="H99" s="732" t="e">
        <f>IF('Despues de ajuste RT03-F52 ¬'!E195&lt;='CMC ¬'!E12,'CMC ¬'!E12,'Despues de ajuste RT03-F52 ¬'!E195)</f>
        <v>#N/A</v>
      </c>
      <c r="I99" s="734" t="s">
        <v>793</v>
      </c>
      <c r="J99" s="751" t="e">
        <f>'Despues de ajuste RT03-F52 ¬'!H195</f>
        <v>#N/A</v>
      </c>
      <c r="K99" s="2024"/>
    </row>
    <row r="100" spans="1:12" ht="24" hidden="1" customHeight="1" thickBot="1" x14ac:dyDescent="0.3">
      <c r="A100" s="2007"/>
      <c r="B100" s="2008"/>
      <c r="C100" s="1995" t="e">
        <f>C93</f>
        <v>#N/A</v>
      </c>
      <c r="D100" s="1996"/>
      <c r="E100" s="734" t="s">
        <v>469</v>
      </c>
      <c r="F100" s="752" t="e">
        <f>'Despues de ajuste RT03-F52 ¬'!B196</f>
        <v>#N/A</v>
      </c>
      <c r="G100" s="749" t="s">
        <v>469</v>
      </c>
      <c r="H100" s="753" t="e">
        <f>IF('Despues de ajuste RT03-F52 ¬'!E196&lt;='CMC ¬'!F12,'CMC ¬'!F12,'Despues de ajuste RT03-F52 ¬'!E196)</f>
        <v>#N/A</v>
      </c>
      <c r="I100" s="734" t="s">
        <v>469</v>
      </c>
      <c r="J100" s="754" t="e">
        <f>'Despues de ajuste RT03-F52 ¬'!H196</f>
        <v>#N/A</v>
      </c>
      <c r="K100" s="2024"/>
    </row>
    <row r="101" spans="1:12" ht="24" hidden="1" customHeight="1" thickBot="1" x14ac:dyDescent="0.3">
      <c r="A101" s="2009"/>
      <c r="B101" s="2010"/>
      <c r="C101" s="1997">
        <f>C94</f>
        <v>100</v>
      </c>
      <c r="D101" s="1998"/>
      <c r="E101" s="734" t="s">
        <v>499</v>
      </c>
      <c r="F101" s="755" t="e">
        <f>'Despues de ajuste RT03-F52 ¬'!B197</f>
        <v>#N/A</v>
      </c>
      <c r="G101" s="736" t="s">
        <v>499</v>
      </c>
      <c r="H101" s="756" t="e">
        <f>IF('Despues de ajuste RT03-F52 ¬'!E197&lt;='CMC ¬'!G12,'CMC ¬'!G12,'Despues de ajuste RT03-F52 ¬'!E197)</f>
        <v>#N/A</v>
      </c>
      <c r="I101" s="734" t="s">
        <v>499</v>
      </c>
      <c r="J101" s="757" t="e">
        <f>'Despues de ajuste RT03-F52 ¬'!H197</f>
        <v>#N/A</v>
      </c>
      <c r="K101" s="2025"/>
    </row>
    <row r="102" spans="1:12" ht="11.25" hidden="1" customHeight="1" x14ac:dyDescent="0.25"/>
    <row r="103" spans="1:12" ht="35.1" hidden="1" customHeight="1" x14ac:dyDescent="0.25">
      <c r="A103" s="1999" t="s">
        <v>797</v>
      </c>
      <c r="B103" s="1999"/>
      <c r="C103" s="1999"/>
      <c r="D103" s="1999"/>
      <c r="E103" s="1999"/>
      <c r="F103" s="1999"/>
      <c r="G103" s="1999"/>
      <c r="H103" s="1999"/>
      <c r="I103" s="1999"/>
      <c r="J103" s="1999"/>
      <c r="K103" s="1999"/>
      <c r="L103" s="1999"/>
    </row>
    <row r="104" spans="1:12" ht="8.25" customHeight="1" thickBot="1" x14ac:dyDescent="0.3">
      <c r="A104" s="722"/>
      <c r="B104" s="722"/>
      <c r="C104" s="722"/>
      <c r="D104" s="722"/>
      <c r="E104" s="722"/>
      <c r="F104" s="722"/>
      <c r="G104" s="722"/>
      <c r="H104" s="722"/>
      <c r="I104" s="722"/>
      <c r="J104" s="722"/>
      <c r="K104" s="722"/>
    </row>
    <row r="105" spans="1:12" ht="24.95" customHeight="1" thickBot="1" x14ac:dyDescent="0.3">
      <c r="A105" s="722"/>
      <c r="B105" s="722"/>
      <c r="C105" s="722"/>
      <c r="D105" s="722"/>
      <c r="E105" s="758" t="s">
        <v>798</v>
      </c>
      <c r="F105" s="759" t="e">
        <f>(C91*0.05%)</f>
        <v>#N/A</v>
      </c>
      <c r="G105" s="758" t="s">
        <v>203</v>
      </c>
      <c r="H105" s="722"/>
      <c r="I105" s="760"/>
      <c r="J105" s="722"/>
      <c r="K105" s="722"/>
    </row>
    <row r="106" spans="1:12" ht="24.95" customHeight="1" x14ac:dyDescent="0.25">
      <c r="A106" s="722"/>
      <c r="B106" s="722"/>
      <c r="C106" s="722"/>
      <c r="D106" s="722"/>
      <c r="E106" s="722"/>
      <c r="F106" s="722"/>
      <c r="G106" s="722"/>
      <c r="H106" s="722"/>
      <c r="I106" s="761"/>
      <c r="J106" s="722"/>
      <c r="K106" s="722"/>
    </row>
    <row r="107" spans="1:12" ht="15.95" customHeight="1" x14ac:dyDescent="0.25">
      <c r="A107" s="722"/>
      <c r="B107" s="722"/>
      <c r="C107" s="722"/>
      <c r="D107" s="722"/>
      <c r="E107" s="722"/>
      <c r="F107" s="722"/>
      <c r="G107" s="722"/>
      <c r="H107" s="722"/>
      <c r="I107" s="760"/>
      <c r="J107" s="722"/>
      <c r="K107" s="722"/>
    </row>
    <row r="108" spans="1:12" ht="125.1" customHeight="1" x14ac:dyDescent="0.25">
      <c r="A108" s="722"/>
      <c r="B108" s="722"/>
      <c r="C108" s="722"/>
      <c r="D108" s="722"/>
      <c r="E108" s="722"/>
      <c r="F108" s="722"/>
      <c r="G108" s="722"/>
      <c r="H108" s="722"/>
      <c r="I108" s="760"/>
      <c r="J108" s="722"/>
      <c r="K108" s="722"/>
    </row>
    <row r="109" spans="1:12" ht="35.1" customHeight="1" x14ac:dyDescent="0.25">
      <c r="A109" s="722"/>
      <c r="B109" s="722"/>
      <c r="C109" s="722"/>
      <c r="D109" s="722"/>
      <c r="E109" s="722"/>
      <c r="F109" s="722"/>
      <c r="G109" s="722"/>
      <c r="H109" s="722"/>
      <c r="I109" s="760"/>
      <c r="J109" s="722"/>
      <c r="K109" s="722"/>
    </row>
    <row r="110" spans="1:12" ht="65.099999999999994" customHeight="1" thickBot="1" x14ac:dyDescent="0.3">
      <c r="A110" s="722"/>
      <c r="B110" s="722"/>
      <c r="C110" s="722"/>
      <c r="D110" s="722"/>
      <c r="E110" s="722"/>
      <c r="F110" s="722"/>
      <c r="G110" s="722"/>
      <c r="H110" s="2000" t="s">
        <v>741</v>
      </c>
      <c r="I110" s="2000"/>
      <c r="J110" s="2017">
        <f>J3</f>
        <v>0</v>
      </c>
      <c r="K110" s="2017"/>
      <c r="L110" s="2017"/>
    </row>
    <row r="111" spans="1:12" ht="18" customHeight="1" thickBot="1" x14ac:dyDescent="0.3">
      <c r="A111" s="1959" t="s">
        <v>799</v>
      </c>
      <c r="B111" s="1959"/>
      <c r="C111" s="1959"/>
      <c r="D111" s="1959"/>
      <c r="E111" s="1959"/>
      <c r="F111" s="1487" t="s">
        <v>800</v>
      </c>
      <c r="G111" s="51"/>
      <c r="H111" s="762"/>
    </row>
    <row r="112" spans="1:12" ht="7.5" customHeight="1" thickBot="1" x14ac:dyDescent="0.3">
      <c r="A112" s="50"/>
      <c r="B112" s="50"/>
      <c r="C112" s="50"/>
      <c r="D112" s="50"/>
      <c r="E112" s="50"/>
      <c r="F112" s="1488"/>
      <c r="G112" s="51"/>
      <c r="H112" s="51"/>
      <c r="I112" s="763"/>
      <c r="J112" s="503"/>
    </row>
    <row r="113" spans="1:12" ht="15" customHeight="1" thickBot="1" x14ac:dyDescent="0.3">
      <c r="A113" s="1959" t="s">
        <v>801</v>
      </c>
      <c r="B113" s="1959"/>
      <c r="C113" s="1959"/>
      <c r="D113" s="1959"/>
      <c r="E113" s="1959"/>
      <c r="F113" s="1489" t="s">
        <v>608</v>
      </c>
      <c r="G113" s="70"/>
      <c r="H113" s="70"/>
      <c r="I113" s="70"/>
      <c r="J113" s="682"/>
    </row>
    <row r="114" spans="1:12" ht="6" customHeight="1" x14ac:dyDescent="0.25">
      <c r="A114" s="764"/>
      <c r="B114" s="764"/>
      <c r="C114" s="764"/>
      <c r="D114" s="764"/>
      <c r="E114" s="764"/>
      <c r="F114" s="764"/>
      <c r="G114" s="764"/>
      <c r="H114" s="51"/>
      <c r="I114" s="51"/>
    </row>
    <row r="115" spans="1:12" ht="16.5" customHeight="1" x14ac:dyDescent="0.25">
      <c r="A115" s="1759" t="s">
        <v>802</v>
      </c>
      <c r="B115" s="1759"/>
      <c r="C115" s="1759"/>
      <c r="D115" s="1759"/>
      <c r="E115" s="1759"/>
      <c r="F115" s="1759"/>
      <c r="G115" s="1759"/>
      <c r="H115" s="1759"/>
      <c r="I115" s="1759"/>
      <c r="J115" s="683"/>
    </row>
    <row r="116" spans="1:12" ht="20.100000000000001" customHeight="1" thickBot="1" x14ac:dyDescent="0.3">
      <c r="A116" s="55"/>
      <c r="B116" s="55"/>
      <c r="C116" s="55"/>
      <c r="D116" s="55"/>
      <c r="E116" s="561"/>
      <c r="F116" s="2022" t="s">
        <v>602</v>
      </c>
      <c r="G116" s="2022"/>
      <c r="H116" s="51"/>
      <c r="I116" s="51"/>
      <c r="J116" s="51"/>
      <c r="K116" s="51"/>
    </row>
    <row r="117" spans="1:12" ht="16.5" customHeight="1" thickBot="1" x14ac:dyDescent="0.3">
      <c r="A117" s="50"/>
      <c r="C117" s="765" t="e">
        <f>'CALIBRACIÓN DE LA ESCALA ¬'!C52</f>
        <v>#N/A</v>
      </c>
      <c r="D117" s="766" t="s">
        <v>203</v>
      </c>
      <c r="E117" s="2019" t="s">
        <v>803</v>
      </c>
      <c r="F117" s="344" t="e">
        <f>'CALIBRACIÓN DE LA ESCALA ¬'!F52</f>
        <v>#N/A</v>
      </c>
      <c r="G117" s="767" t="s">
        <v>203</v>
      </c>
      <c r="I117" s="51"/>
      <c r="J117" s="51"/>
      <c r="K117" s="51"/>
    </row>
    <row r="118" spans="1:12" ht="21" customHeight="1" thickBot="1" x14ac:dyDescent="0.3">
      <c r="A118" s="55"/>
      <c r="C118" s="768" t="e">
        <f>'CALIBRACIÓN DE LA ESCALA ¬'!C53</f>
        <v>#N/A</v>
      </c>
      <c r="D118" s="769" t="s">
        <v>611</v>
      </c>
      <c r="E118" s="2020"/>
      <c r="F118" s="345" t="e">
        <f>'CALIBRACIÓN DE LA ESCALA ¬'!F53</f>
        <v>#N/A</v>
      </c>
      <c r="G118" s="767" t="s">
        <v>804</v>
      </c>
      <c r="I118" s="51"/>
      <c r="J118" s="51"/>
      <c r="K118" s="51"/>
    </row>
    <row r="119" spans="1:12" ht="15" customHeight="1" thickBot="1" x14ac:dyDescent="0.3">
      <c r="A119" s="55"/>
      <c r="C119" s="770" t="e">
        <f>'CALIBRACIÓN DE LA ESCALA ¬'!C54</f>
        <v>#N/A</v>
      </c>
      <c r="D119" s="771" t="s">
        <v>499</v>
      </c>
      <c r="E119" s="2021"/>
      <c r="F119" s="345" t="e">
        <f>'CALIBRACIÓN DE LA ESCALA ¬'!F54</f>
        <v>#N/A</v>
      </c>
      <c r="G119" s="767" t="s">
        <v>499</v>
      </c>
      <c r="I119" s="51"/>
      <c r="J119" s="51"/>
      <c r="K119" s="51"/>
    </row>
    <row r="120" spans="1:12" ht="24.95" customHeight="1" x14ac:dyDescent="0.25">
      <c r="A120" s="55"/>
      <c r="B120" s="51"/>
      <c r="C120" s="51"/>
      <c r="D120" s="51"/>
      <c r="E120" s="561"/>
      <c r="F120" s="561"/>
      <c r="G120" s="561"/>
      <c r="H120" s="688"/>
      <c r="I120" s="772"/>
      <c r="J120" s="772"/>
      <c r="K120" s="772"/>
    </row>
    <row r="121" spans="1:12" ht="12" customHeight="1" x14ac:dyDescent="0.25">
      <c r="A121" s="1959" t="s">
        <v>805</v>
      </c>
      <c r="B121" s="1959"/>
      <c r="C121" s="1959"/>
      <c r="D121" s="1959"/>
      <c r="E121" s="1959"/>
      <c r="F121" s="1959"/>
      <c r="G121" s="51"/>
      <c r="H121" s="51"/>
      <c r="I121" s="51"/>
      <c r="J121" s="51"/>
      <c r="K121" s="51"/>
    </row>
    <row r="122" spans="1:12" ht="12" customHeight="1" x14ac:dyDescent="0.25">
      <c r="A122" s="680"/>
      <c r="B122" s="680"/>
      <c r="C122" s="680"/>
      <c r="D122" s="680"/>
      <c r="E122" s="680"/>
      <c r="F122" s="680"/>
      <c r="G122" s="51"/>
      <c r="H122" s="51"/>
      <c r="I122" s="51"/>
      <c r="J122" s="51"/>
      <c r="K122" s="51"/>
    </row>
    <row r="123" spans="1:12" ht="23.1" customHeight="1" x14ac:dyDescent="0.25">
      <c r="A123" s="42" t="s">
        <v>806</v>
      </c>
      <c r="B123" s="1954" t="s">
        <v>807</v>
      </c>
      <c r="C123" s="1954"/>
      <c r="D123" s="1954"/>
      <c r="E123" s="1954"/>
      <c r="F123" s="1954"/>
      <c r="G123" s="1954"/>
      <c r="H123" s="1954"/>
      <c r="I123" s="1954"/>
      <c r="J123" s="1954"/>
      <c r="K123" s="1954"/>
      <c r="L123" s="1954"/>
    </row>
    <row r="124" spans="1:12" ht="23.1" customHeight="1" x14ac:dyDescent="0.25">
      <c r="A124" s="42" t="s">
        <v>806</v>
      </c>
      <c r="B124" s="1954" t="s">
        <v>808</v>
      </c>
      <c r="C124" s="1954"/>
      <c r="D124" s="1954"/>
      <c r="E124" s="1954"/>
      <c r="F124" s="1954"/>
      <c r="G124" s="1954"/>
      <c r="H124" s="1954"/>
      <c r="I124" s="1954"/>
      <c r="J124" s="1954"/>
      <c r="K124" s="1954"/>
      <c r="L124" s="1954"/>
    </row>
    <row r="125" spans="1:12" ht="33" customHeight="1" x14ac:dyDescent="0.25">
      <c r="A125" s="42" t="s">
        <v>806</v>
      </c>
      <c r="B125" s="1954" t="s">
        <v>809</v>
      </c>
      <c r="C125" s="1954"/>
      <c r="D125" s="1954"/>
      <c r="E125" s="1954"/>
      <c r="F125" s="1954"/>
      <c r="G125" s="1954"/>
      <c r="H125" s="1954"/>
      <c r="I125" s="1954"/>
      <c r="J125" s="1954"/>
      <c r="K125" s="1954"/>
      <c r="L125" s="1954"/>
    </row>
    <row r="126" spans="1:12" s="45" customFormat="1" ht="23.1" customHeight="1" x14ac:dyDescent="0.25">
      <c r="A126" s="42" t="s">
        <v>806</v>
      </c>
      <c r="B126" s="1954" t="s">
        <v>810</v>
      </c>
      <c r="C126" s="1954"/>
      <c r="D126" s="1954"/>
      <c r="E126" s="1954"/>
      <c r="F126" s="1954"/>
      <c r="G126" s="1954"/>
      <c r="H126" s="1954"/>
      <c r="I126" s="1954"/>
      <c r="J126" s="1954"/>
      <c r="K126" s="1954"/>
      <c r="L126" s="1484"/>
    </row>
    <row r="127" spans="1:12" s="773" customFormat="1" ht="23.1" customHeight="1" x14ac:dyDescent="0.25">
      <c r="A127" s="42" t="s">
        <v>806</v>
      </c>
      <c r="B127" s="1954" t="s">
        <v>811</v>
      </c>
      <c r="C127" s="1954"/>
      <c r="D127" s="1954"/>
      <c r="E127" s="1954"/>
      <c r="F127" s="1954"/>
      <c r="G127" s="1954"/>
      <c r="H127" s="1954"/>
      <c r="I127" s="1954"/>
      <c r="J127" s="1954"/>
      <c r="K127" s="1954"/>
      <c r="L127" s="1954"/>
    </row>
    <row r="128" spans="1:12" s="45" customFormat="1" ht="23.1" customHeight="1" x14ac:dyDescent="0.25">
      <c r="A128" s="42" t="s">
        <v>806</v>
      </c>
      <c r="B128" s="1954" t="s">
        <v>812</v>
      </c>
      <c r="C128" s="1954"/>
      <c r="D128" s="1954"/>
      <c r="E128" s="1954"/>
      <c r="F128" s="1954"/>
      <c r="G128" s="1954"/>
      <c r="H128" s="1954"/>
      <c r="I128" s="1954"/>
      <c r="J128" s="1954"/>
      <c r="K128" s="1954"/>
      <c r="L128" s="1484"/>
    </row>
    <row r="129" spans="1:12" ht="23.1" customHeight="1" x14ac:dyDescent="0.25">
      <c r="A129" s="42" t="s">
        <v>806</v>
      </c>
      <c r="B129" s="1954" t="s">
        <v>813</v>
      </c>
      <c r="C129" s="1954"/>
      <c r="D129" s="1954"/>
      <c r="E129" s="1954"/>
      <c r="F129" s="1954"/>
      <c r="G129" s="1954"/>
      <c r="H129" s="1954"/>
      <c r="I129" s="1954"/>
      <c r="J129" s="1954"/>
      <c r="K129" s="1954"/>
      <c r="L129" s="1954"/>
    </row>
    <row r="130" spans="1:12" s="773" customFormat="1" ht="23.1" customHeight="1" x14ac:dyDescent="0.25">
      <c r="A130" s="42" t="s">
        <v>806</v>
      </c>
      <c r="B130" s="1954" t="s">
        <v>814</v>
      </c>
      <c r="C130" s="1954"/>
      <c r="D130" s="1954"/>
      <c r="E130" s="1954"/>
      <c r="F130" s="1954"/>
      <c r="G130" s="1954"/>
      <c r="H130" s="1954"/>
      <c r="I130" s="1954"/>
      <c r="J130" s="1954"/>
      <c r="K130" s="1954"/>
      <c r="L130" s="1954"/>
    </row>
    <row r="131" spans="1:12" s="45" customFormat="1" ht="23.1" customHeight="1" x14ac:dyDescent="0.25">
      <c r="A131" s="42" t="s">
        <v>815</v>
      </c>
      <c r="B131" s="1954" t="s">
        <v>874</v>
      </c>
      <c r="C131" s="1954"/>
      <c r="D131" s="1954"/>
      <c r="E131" s="1954"/>
      <c r="F131" s="1954"/>
      <c r="G131" s="1954"/>
      <c r="H131" s="1954"/>
      <c r="I131" s="1954"/>
      <c r="J131" s="1954"/>
      <c r="K131" s="1954"/>
      <c r="L131" s="1485"/>
    </row>
    <row r="132" spans="1:12" ht="23.1" customHeight="1" x14ac:dyDescent="0.25">
      <c r="A132" s="1486" t="s">
        <v>806</v>
      </c>
      <c r="B132" s="1954" t="s">
        <v>816</v>
      </c>
      <c r="C132" s="1954"/>
      <c r="D132" s="1954"/>
      <c r="E132" s="1954"/>
      <c r="F132" s="1954"/>
      <c r="G132" s="1954"/>
      <c r="H132" s="1954"/>
      <c r="I132" s="1954"/>
      <c r="J132" s="1954"/>
      <c r="K132" s="1954"/>
      <c r="L132" s="1954"/>
    </row>
    <row r="133" spans="1:12" ht="33" customHeight="1" x14ac:dyDescent="0.25">
      <c r="A133" s="42" t="s">
        <v>806</v>
      </c>
      <c r="B133" s="1954" t="s">
        <v>817</v>
      </c>
      <c r="C133" s="1954"/>
      <c r="D133" s="1954"/>
      <c r="E133" s="1954"/>
      <c r="F133" s="1954"/>
      <c r="G133" s="1954"/>
      <c r="H133" s="1954"/>
      <c r="I133" s="1954"/>
      <c r="J133" s="1954"/>
      <c r="K133" s="1954"/>
      <c r="L133" s="1954"/>
    </row>
    <row r="134" spans="1:12" ht="23.1" customHeight="1" x14ac:dyDescent="0.25">
      <c r="A134" s="42" t="s">
        <v>806</v>
      </c>
      <c r="B134" s="1954" t="s">
        <v>818</v>
      </c>
      <c r="C134" s="1954"/>
      <c r="D134" s="1954"/>
      <c r="E134" s="1954"/>
      <c r="F134" s="1954"/>
      <c r="G134" s="1954"/>
      <c r="H134" s="1954"/>
      <c r="I134" s="1954"/>
      <c r="J134" s="1954"/>
      <c r="K134" s="1954"/>
      <c r="L134" s="1954"/>
    </row>
    <row r="135" spans="1:12" ht="23.1" customHeight="1" x14ac:dyDescent="0.25">
      <c r="A135" s="42" t="s">
        <v>806</v>
      </c>
      <c r="B135" s="1954" t="s">
        <v>819</v>
      </c>
      <c r="C135" s="1954"/>
      <c r="D135" s="1954"/>
      <c r="E135" s="1954"/>
      <c r="F135" s="1954"/>
      <c r="G135" s="1954"/>
      <c r="H135" s="1954"/>
      <c r="I135" s="1954"/>
      <c r="J135" s="1954"/>
      <c r="K135" s="1954"/>
      <c r="L135" s="1954"/>
    </row>
    <row r="136" spans="1:12" ht="23.1" customHeight="1" x14ac:dyDescent="0.25">
      <c r="A136" s="42" t="s">
        <v>806</v>
      </c>
      <c r="B136" s="1954" t="s">
        <v>820</v>
      </c>
      <c r="C136" s="1954"/>
      <c r="D136" s="1954"/>
      <c r="E136" s="1954"/>
      <c r="F136" s="1954"/>
      <c r="G136" s="1954"/>
      <c r="H136" s="1954"/>
      <c r="I136" s="1954"/>
      <c r="J136" s="1954"/>
      <c r="K136" s="1954"/>
      <c r="L136" s="1954"/>
    </row>
    <row r="137" spans="1:12" ht="23.1" customHeight="1" x14ac:dyDescent="0.25">
      <c r="A137" s="42" t="s">
        <v>806</v>
      </c>
      <c r="B137" s="1954" t="s">
        <v>821</v>
      </c>
      <c r="C137" s="1954"/>
      <c r="D137" s="1954"/>
      <c r="E137" s="1954"/>
      <c r="F137" s="1954"/>
      <c r="G137" s="1954"/>
      <c r="H137" s="1954"/>
      <c r="I137" s="1954"/>
      <c r="J137" s="1954"/>
      <c r="K137" s="1954"/>
      <c r="L137" s="1954"/>
    </row>
    <row r="138" spans="1:12" ht="23.1" customHeight="1" x14ac:dyDescent="0.25">
      <c r="A138" s="42" t="s">
        <v>806</v>
      </c>
      <c r="B138" s="1954" t="s">
        <v>822</v>
      </c>
      <c r="C138" s="1954"/>
      <c r="D138" s="1954"/>
      <c r="E138" s="1954"/>
      <c r="F138" s="1954"/>
      <c r="G138" s="1954"/>
      <c r="H138" s="1954"/>
      <c r="I138" s="1954"/>
      <c r="J138" s="1954"/>
      <c r="K138" s="1954"/>
      <c r="L138" s="1954"/>
    </row>
    <row r="139" spans="1:12" s="45" customFormat="1" ht="23.1" customHeight="1" x14ac:dyDescent="0.25">
      <c r="A139" s="42" t="s">
        <v>815</v>
      </c>
      <c r="B139" s="1954" t="s">
        <v>823</v>
      </c>
      <c r="C139" s="1954"/>
      <c r="D139" s="1954"/>
      <c r="E139" s="1954"/>
      <c r="F139" s="1954"/>
      <c r="G139" s="1954"/>
      <c r="H139" s="1954"/>
      <c r="I139" s="1954"/>
      <c r="J139" s="1954"/>
      <c r="K139" s="1954"/>
      <c r="L139" s="1484"/>
    </row>
    <row r="140" spans="1:12" ht="15" customHeight="1" x14ac:dyDescent="0.25">
      <c r="E140" s="51"/>
      <c r="F140" s="51"/>
      <c r="G140" s="51"/>
      <c r="H140" s="51"/>
      <c r="I140" s="51"/>
      <c r="J140" s="51"/>
      <c r="K140" s="51"/>
    </row>
    <row r="141" spans="1:12" ht="15" customHeight="1" x14ac:dyDescent="0.25">
      <c r="A141" s="2018" t="s">
        <v>824</v>
      </c>
      <c r="B141" s="2018"/>
      <c r="C141" s="2018"/>
      <c r="D141" s="2018"/>
      <c r="E141" s="51"/>
      <c r="F141" s="51"/>
      <c r="G141" s="51"/>
      <c r="H141" s="51"/>
      <c r="I141" s="51"/>
      <c r="J141" s="51"/>
      <c r="K141" s="51"/>
    </row>
    <row r="142" spans="1:12" ht="15" customHeight="1" x14ac:dyDescent="0.25">
      <c r="A142" s="774"/>
      <c r="B142" s="774"/>
      <c r="C142" s="774"/>
      <c r="D142" s="774"/>
      <c r="E142" s="51"/>
      <c r="F142" s="51"/>
      <c r="G142" s="51"/>
      <c r="H142" s="51"/>
      <c r="I142" s="51"/>
      <c r="J142" s="51"/>
      <c r="K142" s="51"/>
    </row>
    <row r="143" spans="1:12" ht="15" customHeight="1" x14ac:dyDescent="0.25">
      <c r="A143" s="51"/>
      <c r="B143" s="51"/>
      <c r="C143" s="51"/>
      <c r="D143" s="51"/>
      <c r="E143" s="51"/>
      <c r="F143" s="51"/>
      <c r="G143" s="51"/>
      <c r="H143" s="51"/>
      <c r="I143" s="51"/>
      <c r="J143" s="51"/>
      <c r="K143" s="51"/>
    </row>
    <row r="144" spans="1:12" ht="15" customHeight="1" x14ac:dyDescent="0.25">
      <c r="A144" s="51"/>
      <c r="B144" s="51"/>
      <c r="C144" s="51"/>
      <c r="D144" s="51"/>
      <c r="E144" s="51"/>
      <c r="F144" s="51"/>
      <c r="G144" s="51"/>
      <c r="H144" s="51"/>
      <c r="I144" s="51"/>
      <c r="J144" s="51"/>
      <c r="K144" s="51"/>
    </row>
    <row r="145" spans="1:12" ht="15" customHeight="1" x14ac:dyDescent="0.25">
      <c r="A145" s="777"/>
      <c r="B145" s="2027"/>
      <c r="C145" s="2027"/>
      <c r="D145" s="2027"/>
      <c r="E145" s="2027"/>
      <c r="F145" s="51"/>
      <c r="G145" s="51"/>
      <c r="H145" s="2027"/>
      <c r="I145" s="2027"/>
      <c r="J145" s="2027"/>
      <c r="K145" s="2027"/>
      <c r="L145" s="777"/>
    </row>
    <row r="146" spans="1:12" ht="15" customHeight="1" x14ac:dyDescent="0.25">
      <c r="A146" s="51"/>
      <c r="B146" s="2026" t="s">
        <v>825</v>
      </c>
      <c r="C146" s="2026"/>
      <c r="D146" s="2026"/>
      <c r="E146" s="2026"/>
      <c r="F146" s="50"/>
      <c r="G146" s="50"/>
      <c r="H146" s="2026" t="s">
        <v>826</v>
      </c>
      <c r="I146" s="2026"/>
      <c r="J146" s="2026"/>
      <c r="K146" s="2026"/>
    </row>
    <row r="147" spans="1:12" ht="33" customHeight="1" x14ac:dyDescent="0.25">
      <c r="B147" s="1524" t="e">
        <f>VLOOKUP(A145,'DATOS ¬'!P9:U12,4,FALSE)</f>
        <v>#N/A</v>
      </c>
      <c r="C147" s="1524"/>
      <c r="D147" s="1524"/>
      <c r="E147" s="1524"/>
      <c r="F147" s="50"/>
      <c r="G147" s="50"/>
      <c r="H147" s="1524" t="e">
        <f>VLOOKUP(L145,'DATOS ¬'!P9:U12,6,FALSE)</f>
        <v>#N/A</v>
      </c>
      <c r="I147" s="1524"/>
      <c r="J147" s="1524"/>
      <c r="K147" s="1524"/>
    </row>
    <row r="148" spans="1:12" ht="23.1" customHeight="1" x14ac:dyDescent="0.25">
      <c r="A148" s="51"/>
      <c r="B148" s="1783" t="e">
        <f>VLOOKUP(A145,'DATOS ¬'!P9:U12,2,FALSE)</f>
        <v>#N/A</v>
      </c>
      <c r="C148" s="1783"/>
      <c r="D148" s="1783"/>
      <c r="E148" s="1783"/>
      <c r="F148" s="70"/>
      <c r="G148" s="70"/>
      <c r="H148" s="1783" t="e">
        <f>VLOOKUP(L145,'DATOS ¬'!P9:U12,2,FALSE)</f>
        <v>#N/A</v>
      </c>
      <c r="I148" s="1783"/>
      <c r="J148" s="1783"/>
      <c r="K148" s="1783"/>
    </row>
    <row r="149" spans="1:12" ht="15" customHeight="1" x14ac:dyDescent="0.25">
      <c r="D149" s="51"/>
      <c r="E149" s="51"/>
      <c r="F149" s="51"/>
      <c r="G149" s="51"/>
      <c r="H149" s="51"/>
      <c r="I149" s="51"/>
      <c r="J149" s="51"/>
      <c r="K149" s="51"/>
    </row>
    <row r="150" spans="1:12" ht="23.1" customHeight="1" x14ac:dyDescent="0.25">
      <c r="A150" s="51"/>
      <c r="B150" s="1956" t="s">
        <v>827</v>
      </c>
      <c r="C150" s="1956"/>
      <c r="D150" s="421"/>
      <c r="E150" s="53"/>
      <c r="F150" s="53"/>
      <c r="G150" s="683"/>
      <c r="H150" s="683"/>
      <c r="I150" s="1956" t="s">
        <v>828</v>
      </c>
      <c r="J150" s="1956"/>
      <c r="K150" s="421"/>
    </row>
    <row r="151" spans="1:12" ht="15" customHeight="1" x14ac:dyDescent="0.25">
      <c r="A151" s="51"/>
      <c r="J151" s="51"/>
      <c r="K151" s="51"/>
    </row>
    <row r="152" spans="1:12" ht="15.75" customHeight="1" x14ac:dyDescent="0.25">
      <c r="A152" s="1783" t="s">
        <v>829</v>
      </c>
      <c r="B152" s="1783"/>
      <c r="C152" s="1783"/>
      <c r="D152" s="1783"/>
      <c r="E152" s="1783"/>
      <c r="F152" s="1783"/>
      <c r="G152" s="1783"/>
      <c r="H152" s="1783"/>
      <c r="I152" s="1783"/>
      <c r="J152" s="1783"/>
      <c r="K152" s="1783"/>
    </row>
  </sheetData>
  <sheetProtection password="CF5C" sheet="1" objects="1" scenarios="1"/>
  <mergeCells count="148">
    <mergeCell ref="H147:K147"/>
    <mergeCell ref="H148:K148"/>
    <mergeCell ref="B145:E145"/>
    <mergeCell ref="B147:E147"/>
    <mergeCell ref="B146:E146"/>
    <mergeCell ref="B148:E148"/>
    <mergeCell ref="B132:L132"/>
    <mergeCell ref="B133:L133"/>
    <mergeCell ref="B134:L134"/>
    <mergeCell ref="B135:L135"/>
    <mergeCell ref="B136:L136"/>
    <mergeCell ref="B137:L137"/>
    <mergeCell ref="B138:L138"/>
    <mergeCell ref="H145:K145"/>
    <mergeCell ref="A152:K152"/>
    <mergeCell ref="C59:G59"/>
    <mergeCell ref="B150:C150"/>
    <mergeCell ref="I150:J150"/>
    <mergeCell ref="A141:D141"/>
    <mergeCell ref="E117:E119"/>
    <mergeCell ref="A121:F121"/>
    <mergeCell ref="B123:L123"/>
    <mergeCell ref="B124:L124"/>
    <mergeCell ref="B125:L125"/>
    <mergeCell ref="B127:L127"/>
    <mergeCell ref="B129:L129"/>
    <mergeCell ref="B130:L130"/>
    <mergeCell ref="A111:E111"/>
    <mergeCell ref="A113:E113"/>
    <mergeCell ref="A115:I115"/>
    <mergeCell ref="F116:G116"/>
    <mergeCell ref="C94:D94"/>
    <mergeCell ref="F97:G97"/>
    <mergeCell ref="A98:B101"/>
    <mergeCell ref="C98:D98"/>
    <mergeCell ref="K98:K101"/>
    <mergeCell ref="C99:D99"/>
    <mergeCell ref="H146:K146"/>
    <mergeCell ref="C100:D100"/>
    <mergeCell ref="C101:D101"/>
    <mergeCell ref="A103:L103"/>
    <mergeCell ref="H110:I110"/>
    <mergeCell ref="A87:K87"/>
    <mergeCell ref="A89:I89"/>
    <mergeCell ref="A90:B90"/>
    <mergeCell ref="C90:E90"/>
    <mergeCell ref="F90:G90"/>
    <mergeCell ref="A91:B94"/>
    <mergeCell ref="C91:D91"/>
    <mergeCell ref="K91:K94"/>
    <mergeCell ref="C92:D92"/>
    <mergeCell ref="C93:D93"/>
    <mergeCell ref="J110:L110"/>
    <mergeCell ref="A84:C84"/>
    <mergeCell ref="E84:F84"/>
    <mergeCell ref="G84:H84"/>
    <mergeCell ref="I84:J84"/>
    <mergeCell ref="A85:C85"/>
    <mergeCell ref="E85:F85"/>
    <mergeCell ref="G85:H85"/>
    <mergeCell ref="I85:J85"/>
    <mergeCell ref="A82:C82"/>
    <mergeCell ref="E82:F82"/>
    <mergeCell ref="G82:H82"/>
    <mergeCell ref="I82:J82"/>
    <mergeCell ref="A83:C83"/>
    <mergeCell ref="E83:F83"/>
    <mergeCell ref="G83:H83"/>
    <mergeCell ref="I83:J83"/>
    <mergeCell ref="A81:C81"/>
    <mergeCell ref="E81:F81"/>
    <mergeCell ref="G81:H81"/>
    <mergeCell ref="I81:J81"/>
    <mergeCell ref="C66:D66"/>
    <mergeCell ref="E66:F66"/>
    <mergeCell ref="G66:H66"/>
    <mergeCell ref="I67:J67"/>
    <mergeCell ref="I68:J68"/>
    <mergeCell ref="H72:I72"/>
    <mergeCell ref="A75:L75"/>
    <mergeCell ref="A79:L79"/>
    <mergeCell ref="J72:L72"/>
    <mergeCell ref="A64:L64"/>
    <mergeCell ref="C47:K47"/>
    <mergeCell ref="C49:K49"/>
    <mergeCell ref="C51:K51"/>
    <mergeCell ref="C52:J52"/>
    <mergeCell ref="C53:K53"/>
    <mergeCell ref="C54:J54"/>
    <mergeCell ref="A73:E73"/>
    <mergeCell ref="A77:E77"/>
    <mergeCell ref="A22:D22"/>
    <mergeCell ref="E22:H22"/>
    <mergeCell ref="A23:K23"/>
    <mergeCell ref="A25:K25"/>
    <mergeCell ref="A26:K26"/>
    <mergeCell ref="A27:D27"/>
    <mergeCell ref="E27:F27"/>
    <mergeCell ref="J36:L36"/>
    <mergeCell ref="A62:E62"/>
    <mergeCell ref="C55:K55"/>
    <mergeCell ref="C56:J56"/>
    <mergeCell ref="C57:K57"/>
    <mergeCell ref="C58:J58"/>
    <mergeCell ref="S19:W19"/>
    <mergeCell ref="A20:D20"/>
    <mergeCell ref="A21:D21"/>
    <mergeCell ref="S21:U21"/>
    <mergeCell ref="W21:Y21"/>
    <mergeCell ref="E21:L21"/>
    <mergeCell ref="A16:D16"/>
    <mergeCell ref="A17:D17"/>
    <mergeCell ref="A18:D18"/>
    <mergeCell ref="E18:L18"/>
    <mergeCell ref="A1:K1"/>
    <mergeCell ref="A4:D4"/>
    <mergeCell ref="A6:B6"/>
    <mergeCell ref="D6:K6"/>
    <mergeCell ref="A7:B7"/>
    <mergeCell ref="D7:K7"/>
    <mergeCell ref="H3:I3"/>
    <mergeCell ref="A10:C10"/>
    <mergeCell ref="D10:E10"/>
    <mergeCell ref="J3:L3"/>
    <mergeCell ref="B131:K131"/>
    <mergeCell ref="B139:K139"/>
    <mergeCell ref="B128:K128"/>
    <mergeCell ref="B126:K126"/>
    <mergeCell ref="A8:B8"/>
    <mergeCell ref="D8:K8"/>
    <mergeCell ref="H10:I10"/>
    <mergeCell ref="J10:K10"/>
    <mergeCell ref="A11:B11"/>
    <mergeCell ref="D11:F11"/>
    <mergeCell ref="A12:J12"/>
    <mergeCell ref="A14:D14"/>
    <mergeCell ref="A15:D15"/>
    <mergeCell ref="E14:L14"/>
    <mergeCell ref="E15:L15"/>
    <mergeCell ref="E16:L16"/>
    <mergeCell ref="E17:L17"/>
    <mergeCell ref="A19:D19"/>
    <mergeCell ref="A29:H29"/>
    <mergeCell ref="A40:B40"/>
    <mergeCell ref="C42:K42"/>
    <mergeCell ref="C44:K45"/>
    <mergeCell ref="A31:L31"/>
    <mergeCell ref="H36:I36"/>
  </mergeCells>
  <pageMargins left="0.70866141732283472" right="0.70866141732283472" top="0.74803149606299213" bottom="0.74803149606299213" header="0.31496062992125984" footer="0.31496062992125984"/>
  <pageSetup scale="60" orientation="portrait" r:id="rId1"/>
  <headerFooter>
    <oddFooter xml:space="preserve">&amp;RRT03-F53 Vr.1 (2022-03-18)
&amp;P de 4 </oddFooter>
  </headerFooter>
  <rowBreaks count="3" manualBreakCount="3">
    <brk id="33" max="11" man="1"/>
    <brk id="69" max="11" man="1"/>
    <brk id="107" max="11" man="1"/>
  </rowBreaks>
  <colBreaks count="1" manualBreakCount="1">
    <brk id="12" max="160" man="1"/>
  </col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1A779C9D-BAD7-4BC7-B131-8E3C019A66E5}">
            <xm:f>NOT(ISERROR(SEARCH($F$98,F111)))</xm:f>
            <xm:f>$F$98</xm:f>
            <x14:dxf>
              <font>
                <b/>
                <i val="0"/>
              </font>
            </x14:dxf>
          </x14:cfRule>
          <x14:cfRule type="containsText" priority="2" stopIfTrue="1" operator="containsText" id="{2EABBDF6-F605-4A0E-925B-D805D9D462D1}">
            <xm:f>NOT(ISERROR(SEARCH($F$98,F111)))</xm:f>
            <xm:f>$F$98</xm:f>
            <x14:dxf>
              <font>
                <b/>
                <i val="0"/>
                <color auto="1"/>
              </font>
              <fill>
                <patternFill>
                  <bgColor rgb="FFFFC7CE"/>
                </patternFill>
              </fill>
            </x14:dxf>
          </x14:cfRule>
          <xm:sqref>F111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'DATOS ¬'!$Q$26:$Q$28</xm:f>
          </x14:formula1>
          <xm:sqref>B68</xm:sqref>
        </x14:dataValidation>
        <x14:dataValidation type="list" allowBlank="1" showInputMessage="1" showErrorMessage="1">
          <x14:formula1>
            <xm:f>'DATOS ¬'!$P$9:$P$12</xm:f>
          </x14:formula1>
          <xm:sqref>A145 L145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153"/>
  <sheetViews>
    <sheetView showGridLines="0" view="pageBreakPreview" topLeftCell="A144" zoomScale="80" zoomScaleNormal="100" zoomScaleSheetLayoutView="80" workbookViewId="0">
      <selection activeCell="A64" sqref="A64:L64"/>
    </sheetView>
  </sheetViews>
  <sheetFormatPr baseColWidth="10" defaultColWidth="11.42578125" defaultRowHeight="15.75" x14ac:dyDescent="0.25"/>
  <cols>
    <col min="1" max="1" width="5.7109375" style="434" customWidth="1"/>
    <col min="2" max="2" width="13.5703125" style="434" customWidth="1"/>
    <col min="3" max="3" width="12.7109375" style="434" customWidth="1"/>
    <col min="4" max="4" width="15.28515625" style="434" customWidth="1"/>
    <col min="5" max="8" width="12.7109375" style="434" customWidth="1"/>
    <col min="9" max="9" width="18" style="434" customWidth="1"/>
    <col min="10" max="10" width="9.42578125" style="434" customWidth="1"/>
    <col min="11" max="11" width="15" style="434" customWidth="1"/>
    <col min="12" max="12" width="8.28515625" style="434" customWidth="1"/>
    <col min="13" max="13" width="10.140625" style="434" customWidth="1"/>
    <col min="14" max="14" width="8" style="434" customWidth="1"/>
    <col min="15" max="15" width="13.85546875" style="434" customWidth="1"/>
    <col min="16" max="16" width="0.5703125" style="434" customWidth="1"/>
    <col min="17" max="17" width="1.7109375" style="434" customWidth="1"/>
    <col min="18" max="16384" width="11.42578125" style="434"/>
  </cols>
  <sheetData>
    <row r="1" spans="1:12" ht="125.1" customHeight="1" x14ac:dyDescent="0.25">
      <c r="A1" s="1968"/>
      <c r="B1" s="1968"/>
      <c r="C1" s="1968"/>
      <c r="D1" s="1968"/>
      <c r="E1" s="1968"/>
      <c r="F1" s="1968"/>
      <c r="G1" s="1968"/>
      <c r="H1" s="1968"/>
      <c r="I1" s="1968"/>
      <c r="J1" s="1968"/>
      <c r="K1" s="1968"/>
    </row>
    <row r="2" spans="1:12" ht="35.1" customHeight="1" x14ac:dyDescent="0.25">
      <c r="A2" s="677"/>
      <c r="B2" s="677"/>
      <c r="C2" s="677"/>
      <c r="D2" s="677"/>
      <c r="E2" s="677"/>
      <c r="F2" s="677"/>
      <c r="G2" s="677"/>
      <c r="H2" s="677"/>
      <c r="I2" s="677"/>
      <c r="J2" s="677"/>
      <c r="K2" s="677"/>
    </row>
    <row r="3" spans="1:12" ht="65.099999999999994" customHeight="1" x14ac:dyDescent="0.25">
      <c r="A3" s="677"/>
      <c r="B3" s="677"/>
      <c r="C3" s="677"/>
      <c r="D3" s="677"/>
      <c r="E3" s="677"/>
      <c r="F3" s="677"/>
      <c r="G3" s="677"/>
      <c r="H3" s="1969" t="s">
        <v>741</v>
      </c>
      <c r="I3" s="1969"/>
      <c r="J3" s="1962">
        <f>'DATOS ¬'!N15</f>
        <v>0</v>
      </c>
      <c r="K3" s="1962"/>
    </row>
    <row r="4" spans="1:12" ht="27.95" customHeight="1" x14ac:dyDescent="0.25">
      <c r="A4" s="1959" t="s">
        <v>742</v>
      </c>
      <c r="B4" s="1959"/>
      <c r="C4" s="1959"/>
      <c r="D4" s="1959"/>
      <c r="E4" s="683"/>
      <c r="F4" s="503"/>
    </row>
    <row r="5" spans="1:12" ht="18" customHeight="1" x14ac:dyDescent="0.25">
      <c r="A5" s="682"/>
      <c r="B5" s="682"/>
      <c r="C5" s="682"/>
      <c r="D5" s="503"/>
      <c r="E5" s="503"/>
      <c r="F5" s="503"/>
    </row>
    <row r="6" spans="1:12" ht="27.95" customHeight="1" x14ac:dyDescent="0.25">
      <c r="A6" s="1759" t="s">
        <v>743</v>
      </c>
      <c r="B6" s="1759"/>
      <c r="C6" s="55"/>
      <c r="D6" s="1759">
        <f>'DATOS ¬'!K8</f>
        <v>0</v>
      </c>
      <c r="E6" s="1759"/>
      <c r="F6" s="1759"/>
      <c r="G6" s="1759"/>
      <c r="H6" s="1759"/>
      <c r="I6" s="1759"/>
      <c r="J6" s="1759"/>
      <c r="K6" s="1759"/>
    </row>
    <row r="7" spans="1:12" ht="27.95" customHeight="1" x14ac:dyDescent="0.25">
      <c r="A7" s="1955" t="s">
        <v>744</v>
      </c>
      <c r="B7" s="1955"/>
      <c r="C7" s="681"/>
      <c r="D7" s="1759">
        <f>'DATOS ¬'!L8</f>
        <v>0</v>
      </c>
      <c r="E7" s="1759"/>
      <c r="F7" s="1759"/>
      <c r="G7" s="1759"/>
      <c r="H7" s="1759"/>
      <c r="I7" s="1759"/>
      <c r="J7" s="1759"/>
      <c r="K7" s="1759"/>
    </row>
    <row r="8" spans="1:12" ht="27.95" customHeight="1" x14ac:dyDescent="0.25">
      <c r="A8" s="1955" t="s">
        <v>745</v>
      </c>
      <c r="B8" s="1955"/>
      <c r="C8" s="681"/>
      <c r="D8" s="1759">
        <f>'DATOS ¬'!M8</f>
        <v>0</v>
      </c>
      <c r="E8" s="1759"/>
      <c r="F8" s="1759"/>
      <c r="G8" s="1759"/>
      <c r="H8" s="1759"/>
      <c r="I8" s="1759"/>
      <c r="J8" s="1759"/>
      <c r="K8" s="1759"/>
    </row>
    <row r="9" spans="1:12" ht="26.1" customHeight="1" x14ac:dyDescent="0.25">
      <c r="A9" s="682"/>
      <c r="B9" s="682"/>
      <c r="C9" s="682"/>
      <c r="D9" s="503"/>
      <c r="E9" s="503"/>
      <c r="F9" s="503"/>
      <c r="G9" s="503"/>
    </row>
    <row r="10" spans="1:12" ht="26.1" customHeight="1" x14ac:dyDescent="0.25">
      <c r="A10" s="1959" t="s">
        <v>746</v>
      </c>
      <c r="B10" s="1959"/>
      <c r="C10" s="1959"/>
      <c r="D10" s="1957">
        <f>'DATOS ¬'!F8</f>
        <v>0</v>
      </c>
      <c r="E10" s="1957"/>
      <c r="H10" s="1969" t="s">
        <v>747</v>
      </c>
      <c r="I10" s="1969"/>
      <c r="J10" s="1957">
        <f>'DATOS ¬'!I8</f>
        <v>0</v>
      </c>
      <c r="K10" s="1957"/>
    </row>
    <row r="11" spans="1:12" ht="26.1" customHeight="1" x14ac:dyDescent="0.25">
      <c r="A11" s="1958"/>
      <c r="B11" s="1958"/>
      <c r="C11" s="683"/>
      <c r="D11" s="1958"/>
      <c r="E11" s="1958"/>
      <c r="F11" s="1958"/>
    </row>
    <row r="12" spans="1:12" ht="27.95" customHeight="1" x14ac:dyDescent="0.25">
      <c r="A12" s="1959" t="s">
        <v>748</v>
      </c>
      <c r="B12" s="1959"/>
      <c r="C12" s="1959"/>
      <c r="D12" s="1959"/>
      <c r="E12" s="1959"/>
      <c r="F12" s="1959"/>
      <c r="G12" s="1959"/>
      <c r="H12" s="1959"/>
      <c r="I12" s="1959"/>
      <c r="J12" s="1959"/>
    </row>
    <row r="13" spans="1:12" ht="18" customHeight="1" x14ac:dyDescent="0.25">
      <c r="A13" s="55"/>
      <c r="B13" s="55"/>
      <c r="C13" s="55"/>
      <c r="D13" s="55"/>
      <c r="E13" s="55"/>
      <c r="F13" s="50"/>
      <c r="G13" s="51"/>
      <c r="H13" s="51"/>
      <c r="I13" s="51"/>
      <c r="J13" s="51"/>
    </row>
    <row r="14" spans="1:12" ht="27.95" customHeight="1" x14ac:dyDescent="0.25">
      <c r="A14" s="1759" t="s">
        <v>749</v>
      </c>
      <c r="B14" s="1759"/>
      <c r="C14" s="1759"/>
      <c r="D14" s="1759"/>
      <c r="E14" s="1960" t="s">
        <v>750</v>
      </c>
      <c r="F14" s="1960"/>
      <c r="G14" s="1960"/>
      <c r="H14" s="1960"/>
      <c r="I14" s="1960"/>
      <c r="J14" s="1960"/>
      <c r="K14" s="1960"/>
      <c r="L14" s="1960"/>
    </row>
    <row r="15" spans="1:12" ht="27.95" customHeight="1" x14ac:dyDescent="0.25">
      <c r="A15" s="1759" t="s">
        <v>751</v>
      </c>
      <c r="B15" s="1759"/>
      <c r="C15" s="1759"/>
      <c r="D15" s="1759"/>
      <c r="E15" s="1759">
        <f>'DATOS ¬'!C15</f>
        <v>0</v>
      </c>
      <c r="F15" s="1759"/>
      <c r="G15" s="1759"/>
      <c r="H15" s="1759"/>
      <c r="I15" s="1759"/>
      <c r="J15" s="1759"/>
      <c r="K15" s="1759"/>
      <c r="L15" s="1759"/>
    </row>
    <row r="16" spans="1:12" ht="27.95" customHeight="1" x14ac:dyDescent="0.25">
      <c r="A16" s="1759" t="s">
        <v>752</v>
      </c>
      <c r="B16" s="1759"/>
      <c r="C16" s="1759"/>
      <c r="D16" s="1759"/>
      <c r="E16" s="1961">
        <f>'DATOS ¬'!E15</f>
        <v>0</v>
      </c>
      <c r="F16" s="1961"/>
      <c r="G16" s="1961"/>
      <c r="H16" s="1961"/>
      <c r="I16" s="1961"/>
      <c r="J16" s="1961"/>
      <c r="K16" s="1961"/>
      <c r="L16" s="1961"/>
    </row>
    <row r="17" spans="1:25" ht="27.95" customHeight="1" x14ac:dyDescent="0.25">
      <c r="A17" s="1759" t="s">
        <v>753</v>
      </c>
      <c r="B17" s="1759"/>
      <c r="C17" s="1759"/>
      <c r="D17" s="1759"/>
      <c r="E17" s="1962">
        <f>'DATOS ¬'!D15</f>
        <v>0</v>
      </c>
      <c r="F17" s="1962"/>
      <c r="G17" s="1962"/>
      <c r="H17" s="1962"/>
      <c r="I17" s="1962"/>
      <c r="J17" s="1962"/>
      <c r="K17" s="1962"/>
      <c r="L17" s="1962"/>
    </row>
    <row r="18" spans="1:25" ht="27.95" customHeight="1" x14ac:dyDescent="0.25">
      <c r="A18" s="1759" t="s">
        <v>754</v>
      </c>
      <c r="B18" s="1759"/>
      <c r="C18" s="1759"/>
      <c r="D18" s="1759"/>
      <c r="E18" s="1960" t="s">
        <v>755</v>
      </c>
      <c r="F18" s="1960"/>
      <c r="G18" s="1960"/>
      <c r="H18" s="1960"/>
      <c r="I18" s="1960"/>
      <c r="J18" s="1960"/>
      <c r="K18" s="1960"/>
      <c r="L18" s="1960"/>
    </row>
    <row r="19" spans="1:25" ht="27.95" customHeight="1" x14ac:dyDescent="0.25">
      <c r="A19" s="1759" t="s">
        <v>756</v>
      </c>
      <c r="B19" s="1759"/>
      <c r="C19" s="1759"/>
      <c r="D19" s="1759"/>
      <c r="E19" s="1962" t="str">
        <f>CONCATENATE('DATOS ¬'!G15," ",'DATOS ¬'!G14)</f>
        <v xml:space="preserve"> </v>
      </c>
      <c r="F19" s="1962"/>
      <c r="G19" s="1962"/>
      <c r="H19" s="1962"/>
      <c r="I19" s="1962"/>
      <c r="J19" s="1962"/>
      <c r="K19" s="1962"/>
      <c r="L19" s="1962"/>
      <c r="S19" s="1958"/>
      <c r="T19" s="1958"/>
      <c r="U19" s="1958"/>
      <c r="V19" s="1958"/>
      <c r="W19" s="1958"/>
    </row>
    <row r="20" spans="1:25" ht="27.95" customHeight="1" x14ac:dyDescent="0.25">
      <c r="A20" s="1759" t="s">
        <v>757</v>
      </c>
      <c r="B20" s="1759"/>
      <c r="C20" s="1759"/>
      <c r="D20" s="1759"/>
      <c r="E20" s="684" t="e">
        <f>'DATOS ¬'!H15</f>
        <v>#N/A</v>
      </c>
      <c r="G20" s="53"/>
      <c r="H20" s="53"/>
      <c r="I20" s="55"/>
      <c r="J20" s="51"/>
    </row>
    <row r="21" spans="1:25" ht="27.95" customHeight="1" x14ac:dyDescent="0.25">
      <c r="A21" s="1759" t="s">
        <v>758</v>
      </c>
      <c r="B21" s="1759"/>
      <c r="C21" s="1759"/>
      <c r="D21" s="1759"/>
      <c r="E21" s="1960" t="s">
        <v>759</v>
      </c>
      <c r="F21" s="1960"/>
      <c r="G21" s="1960"/>
      <c r="H21" s="1960"/>
      <c r="I21" s="1960"/>
      <c r="J21" s="1960"/>
      <c r="K21" s="1960"/>
      <c r="L21" s="1960"/>
      <c r="S21" s="2028"/>
      <c r="T21" s="2029"/>
      <c r="U21" s="2029"/>
      <c r="W21" s="1958"/>
      <c r="X21" s="1958"/>
      <c r="Y21" s="1958"/>
    </row>
    <row r="22" spans="1:25" ht="26.1" customHeight="1" x14ac:dyDescent="0.25">
      <c r="A22" s="1958"/>
      <c r="B22" s="1958"/>
      <c r="C22" s="1958"/>
      <c r="D22" s="1958"/>
      <c r="E22" s="1958"/>
      <c r="F22" s="1958"/>
      <c r="G22" s="1958"/>
      <c r="H22" s="1958"/>
      <c r="I22" s="682"/>
    </row>
    <row r="23" spans="1:25" ht="27.95" customHeight="1" x14ac:dyDescent="0.25">
      <c r="A23" s="1959" t="s">
        <v>760</v>
      </c>
      <c r="B23" s="1959"/>
      <c r="C23" s="1959"/>
      <c r="D23" s="1959"/>
      <c r="E23" s="1959"/>
      <c r="F23" s="1959"/>
      <c r="G23" s="1959"/>
      <c r="H23" s="1959"/>
      <c r="I23" s="1959"/>
      <c r="J23" s="1959"/>
      <c r="K23" s="1959"/>
    </row>
    <row r="24" spans="1:25" ht="18" customHeight="1" x14ac:dyDescent="0.25">
      <c r="A24" s="51"/>
      <c r="B24" s="51"/>
      <c r="C24" s="51"/>
      <c r="D24" s="51"/>
      <c r="E24" s="51"/>
      <c r="F24" s="51"/>
      <c r="G24" s="51"/>
      <c r="H24" s="51"/>
      <c r="I24" s="51"/>
      <c r="J24" s="51"/>
      <c r="K24" s="51"/>
    </row>
    <row r="25" spans="1:25" ht="27.95" customHeight="1" x14ac:dyDescent="0.25">
      <c r="A25" s="1973" t="str">
        <f>'DATOS ¬'!G8</f>
        <v>Laboratorios de calibración, avenida carrera  50 # 26-55, interior 2 del CAN, piso 5</v>
      </c>
      <c r="B25" s="1973"/>
      <c r="C25" s="1973"/>
      <c r="D25" s="1973"/>
      <c r="E25" s="1973"/>
      <c r="F25" s="1973"/>
      <c r="G25" s="1973"/>
      <c r="H25" s="1973"/>
      <c r="I25" s="1973"/>
      <c r="J25" s="1973"/>
      <c r="K25" s="1973"/>
    </row>
    <row r="26" spans="1:25" ht="26.1" customHeight="1" x14ac:dyDescent="0.25">
      <c r="A26" s="1974"/>
      <c r="B26" s="1974"/>
      <c r="C26" s="1974"/>
      <c r="D26" s="1974"/>
      <c r="E26" s="1974"/>
      <c r="F26" s="1974"/>
      <c r="G26" s="1974"/>
      <c r="H26" s="1974"/>
      <c r="I26" s="1974"/>
      <c r="J26" s="1974"/>
      <c r="K26" s="1974"/>
    </row>
    <row r="27" spans="1:25" ht="50.25" customHeight="1" x14ac:dyDescent="0.25">
      <c r="A27" s="1959" t="s">
        <v>761</v>
      </c>
      <c r="B27" s="1959"/>
      <c r="C27" s="1959"/>
      <c r="D27" s="1959"/>
      <c r="E27" s="1974">
        <f>'DATOS ¬'!J8</f>
        <v>0</v>
      </c>
      <c r="F27" s="1974"/>
      <c r="G27" s="53"/>
      <c r="H27" s="51"/>
      <c r="I27" s="51"/>
      <c r="J27" s="51"/>
      <c r="K27" s="51"/>
    </row>
    <row r="28" spans="1:25" ht="26.1" customHeight="1" x14ac:dyDescent="0.25">
      <c r="A28" s="51"/>
      <c r="B28" s="51"/>
      <c r="C28" s="51"/>
      <c r="D28" s="51"/>
      <c r="E28" s="51"/>
      <c r="F28" s="52"/>
      <c r="G28" s="52"/>
      <c r="H28" s="51"/>
      <c r="I28" s="51"/>
      <c r="J28" s="51"/>
      <c r="K28" s="51"/>
    </row>
    <row r="29" spans="1:25" ht="27.95" customHeight="1" x14ac:dyDescent="0.25">
      <c r="A29" s="1963" t="s">
        <v>762</v>
      </c>
      <c r="B29" s="1963"/>
      <c r="C29" s="1963"/>
      <c r="D29" s="1963"/>
      <c r="E29" s="1963"/>
      <c r="F29" s="1963"/>
      <c r="G29" s="1963"/>
      <c r="H29" s="1963"/>
      <c r="I29" s="307"/>
      <c r="J29" s="433"/>
      <c r="K29" s="51"/>
    </row>
    <row r="30" spans="1:25" ht="18" customHeight="1" x14ac:dyDescent="0.25">
      <c r="A30" s="55"/>
      <c r="B30" s="55"/>
      <c r="C30" s="55"/>
      <c r="D30" s="55"/>
      <c r="E30" s="55"/>
      <c r="F30" s="55"/>
      <c r="G30" s="55"/>
      <c r="H30" s="55"/>
      <c r="I30" s="55"/>
      <c r="J30" s="51"/>
      <c r="K30" s="51"/>
    </row>
    <row r="31" spans="1:25" ht="39.950000000000003" customHeight="1" x14ac:dyDescent="0.25">
      <c r="A31" s="1966" t="s">
        <v>763</v>
      </c>
      <c r="B31" s="1966"/>
      <c r="C31" s="1966"/>
      <c r="D31" s="1966"/>
      <c r="E31" s="1966"/>
      <c r="F31" s="1966"/>
      <c r="G31" s="1966"/>
      <c r="H31" s="1966"/>
      <c r="I31" s="1966"/>
      <c r="J31" s="1966"/>
      <c r="K31" s="1966"/>
      <c r="L31" s="1966"/>
    </row>
    <row r="32" spans="1:25" ht="20.100000000000001" customHeight="1" x14ac:dyDescent="0.25">
      <c r="A32" s="685"/>
      <c r="B32" s="685"/>
      <c r="C32" s="685"/>
      <c r="D32" s="685"/>
      <c r="E32" s="685"/>
      <c r="F32" s="685"/>
      <c r="G32" s="685"/>
      <c r="H32" s="685"/>
      <c r="I32" s="685"/>
      <c r="J32" s="685"/>
      <c r="K32" s="685"/>
      <c r="L32" s="685"/>
    </row>
    <row r="33" spans="1:11" ht="18" customHeight="1" x14ac:dyDescent="0.25">
      <c r="A33" s="686"/>
      <c r="B33" s="686"/>
      <c r="C33" s="686"/>
      <c r="D33" s="686"/>
      <c r="E33" s="686"/>
      <c r="F33" s="686"/>
      <c r="G33" s="686"/>
      <c r="H33" s="686"/>
      <c r="I33" s="686"/>
      <c r="J33" s="686"/>
      <c r="K33" s="686"/>
    </row>
    <row r="34" spans="1:11" ht="125.1" customHeight="1" x14ac:dyDescent="0.25">
      <c r="A34" s="686"/>
      <c r="B34" s="686"/>
      <c r="C34" s="686"/>
      <c r="D34" s="686"/>
      <c r="E34" s="686"/>
      <c r="F34" s="686"/>
      <c r="G34" s="686"/>
      <c r="H34" s="686"/>
      <c r="I34" s="686"/>
      <c r="J34" s="686"/>
      <c r="K34" s="686"/>
    </row>
    <row r="35" spans="1:11" ht="35.1" customHeight="1" x14ac:dyDescent="0.25">
      <c r="A35" s="686"/>
      <c r="B35" s="686"/>
      <c r="C35" s="686"/>
      <c r="D35" s="686"/>
      <c r="E35" s="686"/>
      <c r="F35" s="686"/>
      <c r="G35" s="686"/>
      <c r="H35" s="686"/>
      <c r="I35" s="686"/>
      <c r="J35" s="686"/>
      <c r="K35" s="686"/>
    </row>
    <row r="36" spans="1:11" ht="65.099999999999994" customHeight="1" x14ac:dyDescent="0.25">
      <c r="A36" s="687"/>
      <c r="B36" s="687"/>
      <c r="C36" s="687"/>
      <c r="D36" s="687"/>
      <c r="E36" s="687"/>
      <c r="F36" s="687"/>
      <c r="G36" s="687"/>
      <c r="H36" s="1967" t="s">
        <v>741</v>
      </c>
      <c r="I36" s="1967"/>
      <c r="J36" s="1962">
        <f>J3</f>
        <v>0</v>
      </c>
      <c r="K36" s="1962"/>
    </row>
    <row r="37" spans="1:11" ht="18" customHeight="1" x14ac:dyDescent="0.25">
      <c r="A37" s="687"/>
      <c r="B37" s="687"/>
      <c r="C37" s="687"/>
      <c r="D37" s="687"/>
      <c r="E37" s="687"/>
      <c r="F37" s="687"/>
      <c r="G37" s="687"/>
      <c r="H37" s="830"/>
      <c r="I37" s="651"/>
      <c r="J37" s="651"/>
      <c r="K37" s="677"/>
    </row>
    <row r="38" spans="1:11" ht="18" customHeight="1" x14ac:dyDescent="0.25">
      <c r="A38" s="687"/>
      <c r="B38" s="687"/>
      <c r="C38" s="687"/>
      <c r="D38" s="687"/>
      <c r="E38" s="687"/>
      <c r="F38" s="687"/>
      <c r="G38" s="687"/>
      <c r="H38" s="830"/>
      <c r="I38" s="651"/>
      <c r="J38" s="651"/>
      <c r="K38" s="677"/>
    </row>
    <row r="39" spans="1:11" ht="15.75" customHeight="1" x14ac:dyDescent="0.25">
      <c r="A39" s="687"/>
      <c r="B39" s="687"/>
      <c r="C39" s="687"/>
      <c r="D39" s="687"/>
      <c r="E39" s="687"/>
      <c r="F39" s="687"/>
      <c r="G39" s="687"/>
      <c r="H39" s="830"/>
      <c r="I39" s="651"/>
      <c r="J39" s="651"/>
      <c r="K39" s="677"/>
    </row>
    <row r="40" spans="1:11" s="692" customFormat="1" ht="23.1" customHeight="1" x14ac:dyDescent="0.2">
      <c r="A40" s="1964" t="s">
        <v>764</v>
      </c>
      <c r="B40" s="1964"/>
      <c r="C40" s="690"/>
      <c r="D40" s="690"/>
      <c r="E40" s="690"/>
      <c r="F40" s="690"/>
      <c r="G40" s="690"/>
      <c r="H40" s="690"/>
      <c r="I40" s="690"/>
      <c r="J40" s="691"/>
    </row>
    <row r="41" spans="1:11" s="692" customFormat="1" ht="24.95" customHeight="1" x14ac:dyDescent="0.2">
      <c r="A41" s="831"/>
      <c r="B41" s="690"/>
      <c r="C41" s="690"/>
      <c r="D41" s="690"/>
      <c r="E41" s="690"/>
      <c r="F41" s="690"/>
      <c r="G41" s="690"/>
      <c r="H41" s="690"/>
      <c r="I41" s="690"/>
      <c r="J41" s="691"/>
    </row>
    <row r="42" spans="1:11" s="692" customFormat="1" ht="24.95" customHeight="1" x14ac:dyDescent="0.2">
      <c r="A42" s="690"/>
      <c r="B42" s="694"/>
      <c r="C42" s="1965" t="s">
        <v>765</v>
      </c>
      <c r="D42" s="1965"/>
      <c r="E42" s="1965"/>
      <c r="F42" s="1965"/>
      <c r="G42" s="1965"/>
      <c r="H42" s="1965"/>
      <c r="I42" s="1965"/>
      <c r="J42" s="1965"/>
      <c r="K42" s="1965"/>
    </row>
    <row r="43" spans="1:11" s="692" customFormat="1" ht="12.95" customHeight="1" x14ac:dyDescent="0.2">
      <c r="A43" s="832"/>
      <c r="B43" s="832"/>
      <c r="C43" s="700"/>
      <c r="D43" s="700"/>
      <c r="E43" s="700"/>
      <c r="F43" s="700"/>
      <c r="G43" s="697"/>
      <c r="H43" s="700"/>
      <c r="I43" s="833"/>
      <c r="J43" s="833"/>
      <c r="K43" s="697"/>
    </row>
    <row r="44" spans="1:11" s="692" customFormat="1" ht="15.95" customHeight="1" x14ac:dyDescent="0.2">
      <c r="A44" s="690"/>
      <c r="B44" s="699"/>
      <c r="C44" s="1965" t="s">
        <v>766</v>
      </c>
      <c r="D44" s="1965"/>
      <c r="E44" s="1965"/>
      <c r="F44" s="1965"/>
      <c r="G44" s="1965"/>
      <c r="H44" s="1965"/>
      <c r="I44" s="1965"/>
      <c r="J44" s="1965"/>
      <c r="K44" s="1965"/>
    </row>
    <row r="45" spans="1:11" s="692" customFormat="1" ht="15.95" customHeight="1" x14ac:dyDescent="0.2">
      <c r="A45" s="690"/>
      <c r="B45" s="699"/>
      <c r="C45" s="1965"/>
      <c r="D45" s="1965"/>
      <c r="E45" s="1965"/>
      <c r="F45" s="1965"/>
      <c r="G45" s="1965"/>
      <c r="H45" s="1965"/>
      <c r="I45" s="1965"/>
      <c r="J45" s="1965"/>
      <c r="K45" s="1965"/>
    </row>
    <row r="46" spans="1:11" s="692" customFormat="1" ht="12.95" customHeight="1" x14ac:dyDescent="0.2">
      <c r="A46" s="690"/>
      <c r="B46" s="699"/>
      <c r="C46" s="700"/>
      <c r="D46" s="700"/>
      <c r="E46" s="700"/>
      <c r="F46" s="700"/>
      <c r="G46" s="700"/>
      <c r="H46" s="700"/>
      <c r="I46" s="700"/>
      <c r="J46" s="700"/>
      <c r="K46" s="700"/>
    </row>
    <row r="47" spans="1:11" s="692" customFormat="1" ht="24.95" customHeight="1" x14ac:dyDescent="0.2">
      <c r="A47" s="690"/>
      <c r="B47" s="690"/>
      <c r="C47" s="1965" t="s">
        <v>767</v>
      </c>
      <c r="D47" s="1965"/>
      <c r="E47" s="1965"/>
      <c r="F47" s="1965"/>
      <c r="G47" s="1965"/>
      <c r="H47" s="1965"/>
      <c r="I47" s="1965"/>
      <c r="J47" s="1965"/>
      <c r="K47" s="1965"/>
    </row>
    <row r="48" spans="1:11" s="692" customFormat="1" ht="12.95" customHeight="1" x14ac:dyDescent="0.2">
      <c r="A48" s="690"/>
      <c r="B48" s="690"/>
      <c r="C48" s="700"/>
      <c r="D48" s="700"/>
      <c r="E48" s="700"/>
      <c r="F48" s="700"/>
      <c r="G48" s="700"/>
      <c r="H48" s="700"/>
      <c r="I48" s="700"/>
      <c r="J48" s="700"/>
      <c r="K48" s="700"/>
    </row>
    <row r="49" spans="1:12" s="692" customFormat="1" ht="24.95" customHeight="1" x14ac:dyDescent="0.2">
      <c r="A49" s="690"/>
      <c r="B49" s="690"/>
      <c r="C49" s="1965" t="s">
        <v>768</v>
      </c>
      <c r="D49" s="1965"/>
      <c r="E49" s="1965"/>
      <c r="F49" s="1965"/>
      <c r="G49" s="1965"/>
      <c r="H49" s="1965"/>
      <c r="I49" s="1965"/>
      <c r="J49" s="1965"/>
      <c r="K49" s="1965"/>
    </row>
    <row r="50" spans="1:12" s="692" customFormat="1" ht="12.95" customHeight="1" x14ac:dyDescent="0.2">
      <c r="A50" s="690"/>
      <c r="B50" s="690"/>
      <c r="C50" s="700"/>
      <c r="D50" s="700"/>
      <c r="E50" s="700"/>
      <c r="F50" s="700"/>
      <c r="G50" s="700"/>
      <c r="H50" s="700"/>
      <c r="I50" s="700"/>
      <c r="J50" s="700"/>
      <c r="K50" s="700"/>
    </row>
    <row r="51" spans="1:12" s="692" customFormat="1" ht="24.95" customHeight="1" x14ac:dyDescent="0.2">
      <c r="A51" s="690"/>
      <c r="B51" s="690"/>
      <c r="C51" s="1965" t="s">
        <v>769</v>
      </c>
      <c r="D51" s="1965"/>
      <c r="E51" s="1965"/>
      <c r="F51" s="1965"/>
      <c r="G51" s="1965"/>
      <c r="H51" s="1965"/>
      <c r="I51" s="1965"/>
      <c r="J51" s="1965"/>
      <c r="K51" s="1965"/>
    </row>
    <row r="52" spans="1:12" s="692" customFormat="1" ht="12.95" customHeight="1" x14ac:dyDescent="0.2">
      <c r="A52" s="690"/>
      <c r="B52" s="690"/>
      <c r="C52" s="1965"/>
      <c r="D52" s="1965"/>
      <c r="E52" s="1965"/>
      <c r="F52" s="1965"/>
      <c r="G52" s="1965"/>
      <c r="H52" s="1965"/>
      <c r="I52" s="1965"/>
      <c r="J52" s="1965"/>
      <c r="K52" s="700"/>
    </row>
    <row r="53" spans="1:12" s="692" customFormat="1" ht="24.95" customHeight="1" x14ac:dyDescent="0.2">
      <c r="A53" s="690"/>
      <c r="B53" s="692" t="s">
        <v>770</v>
      </c>
      <c r="C53" s="1965" t="s">
        <v>771</v>
      </c>
      <c r="D53" s="1965"/>
      <c r="E53" s="1965"/>
      <c r="F53" s="1965"/>
      <c r="G53" s="1965"/>
      <c r="H53" s="1965"/>
      <c r="I53" s="1965"/>
      <c r="J53" s="1965"/>
      <c r="K53" s="1965"/>
    </row>
    <row r="54" spans="1:12" s="692" customFormat="1" ht="12.95" customHeight="1" x14ac:dyDescent="0.2">
      <c r="A54" s="690"/>
      <c r="C54" s="1965"/>
      <c r="D54" s="1965"/>
      <c r="E54" s="1965"/>
      <c r="F54" s="1965"/>
      <c r="G54" s="1965"/>
      <c r="H54" s="1965"/>
      <c r="I54" s="1965"/>
      <c r="J54" s="1965"/>
      <c r="K54" s="700"/>
    </row>
    <row r="55" spans="1:12" s="692" customFormat="1" ht="24.95" customHeight="1" x14ac:dyDescent="0.2">
      <c r="A55" s="690"/>
      <c r="B55" s="690"/>
      <c r="C55" s="1965" t="s">
        <v>772</v>
      </c>
      <c r="D55" s="1965"/>
      <c r="E55" s="1965"/>
      <c r="F55" s="1965"/>
      <c r="G55" s="1965"/>
      <c r="H55" s="1965"/>
      <c r="I55" s="1965"/>
      <c r="J55" s="1965"/>
      <c r="K55" s="1965"/>
    </row>
    <row r="56" spans="1:12" s="692" customFormat="1" ht="12.95" customHeight="1" x14ac:dyDescent="0.2">
      <c r="A56" s="690"/>
      <c r="B56" s="690"/>
      <c r="C56" s="1965"/>
      <c r="D56" s="1965"/>
      <c r="E56" s="1965"/>
      <c r="F56" s="1965"/>
      <c r="G56" s="1965"/>
      <c r="H56" s="1965"/>
      <c r="I56" s="1965"/>
      <c r="J56" s="1965"/>
      <c r="K56" s="700"/>
    </row>
    <row r="57" spans="1:12" s="692" customFormat="1" ht="24.95" customHeight="1" x14ac:dyDescent="0.2">
      <c r="A57" s="690"/>
      <c r="B57" s="690"/>
      <c r="C57" s="1965" t="s">
        <v>773</v>
      </c>
      <c r="D57" s="1965"/>
      <c r="E57" s="1965"/>
      <c r="F57" s="1965"/>
      <c r="G57" s="1965"/>
      <c r="H57" s="1965"/>
      <c r="I57" s="1965"/>
      <c r="J57" s="1965"/>
      <c r="K57" s="1965"/>
    </row>
    <row r="58" spans="1:12" s="692" customFormat="1" ht="12.95" customHeight="1" x14ac:dyDescent="0.2">
      <c r="A58" s="690"/>
      <c r="B58" s="690"/>
      <c r="C58" s="1965"/>
      <c r="D58" s="1965"/>
      <c r="E58" s="1965"/>
      <c r="F58" s="1965"/>
      <c r="G58" s="1965"/>
      <c r="H58" s="1965"/>
      <c r="I58" s="1965"/>
      <c r="J58" s="1965"/>
      <c r="K58" s="700"/>
    </row>
    <row r="59" spans="1:12" s="692" customFormat="1" ht="24.95" customHeight="1" x14ac:dyDescent="0.2">
      <c r="A59" s="690"/>
      <c r="B59" s="690"/>
      <c r="C59" s="1759" t="s">
        <v>774</v>
      </c>
      <c r="D59" s="1759"/>
      <c r="E59" s="1759"/>
      <c r="F59" s="1759"/>
      <c r="G59" s="1759"/>
      <c r="H59" s="53" t="str">
        <f>CONCATENATE('DATOS ¬'!F15," ",'DATOS ¬'!F14)</f>
        <v xml:space="preserve"> °C</v>
      </c>
      <c r="I59" s="53"/>
      <c r="J59" s="53"/>
      <c r="K59" s="53"/>
    </row>
    <row r="60" spans="1:12" s="692" customFormat="1" ht="12.95" customHeight="1" x14ac:dyDescent="0.25">
      <c r="A60" s="690"/>
      <c r="B60" s="690"/>
      <c r="C60" s="691"/>
      <c r="D60" s="691"/>
      <c r="E60" s="691"/>
      <c r="F60" s="691"/>
      <c r="G60" s="691"/>
      <c r="H60" s="691"/>
      <c r="I60" s="701"/>
      <c r="J60" s="701"/>
      <c r="K60" s="434"/>
      <c r="L60" s="434"/>
    </row>
    <row r="61" spans="1:12" ht="24.95" customHeight="1" x14ac:dyDescent="0.25">
      <c r="A61" s="690"/>
      <c r="B61" s="690"/>
      <c r="C61" s="691"/>
      <c r="D61" s="691"/>
      <c r="E61" s="691"/>
      <c r="F61" s="691"/>
      <c r="G61" s="691"/>
      <c r="H61" s="691"/>
      <c r="I61" s="701"/>
      <c r="J61" s="701"/>
    </row>
    <row r="62" spans="1:12" ht="27.95" customHeight="1" x14ac:dyDescent="0.25">
      <c r="A62" s="1963" t="s">
        <v>775</v>
      </c>
      <c r="B62" s="1963"/>
      <c r="C62" s="1963"/>
      <c r="D62" s="1963"/>
      <c r="E62" s="1963"/>
      <c r="F62" s="682"/>
      <c r="G62" s="682"/>
    </row>
    <row r="63" spans="1:12" ht="15.95" customHeight="1" x14ac:dyDescent="0.25">
      <c r="A63" s="834"/>
      <c r="B63" s="834"/>
      <c r="C63" s="834"/>
      <c r="D63" s="834"/>
      <c r="E63" s="834"/>
      <c r="F63" s="682"/>
      <c r="G63" s="682"/>
      <c r="H63" s="682"/>
      <c r="I63" s="682"/>
      <c r="J63" s="703"/>
    </row>
    <row r="64" spans="1:12" ht="27.95" customHeight="1" x14ac:dyDescent="0.25">
      <c r="A64" s="1954" t="s">
        <v>776</v>
      </c>
      <c r="B64" s="1954"/>
      <c r="C64" s="1954"/>
      <c r="D64" s="1954"/>
      <c r="E64" s="1954"/>
      <c r="F64" s="1954"/>
      <c r="G64" s="1954"/>
      <c r="H64" s="1954"/>
      <c r="I64" s="1954"/>
      <c r="J64" s="1954"/>
      <c r="K64" s="1954"/>
      <c r="L64" s="1954"/>
    </row>
    <row r="65" spans="1:12" ht="24.95" customHeight="1" thickBot="1" x14ac:dyDescent="0.3">
      <c r="A65" s="704"/>
      <c r="B65" s="704"/>
      <c r="C65" s="704"/>
      <c r="D65" s="704"/>
      <c r="E65" s="704"/>
      <c r="F65" s="704"/>
      <c r="G65" s="704"/>
      <c r="H65" s="704"/>
      <c r="I65" s="704"/>
      <c r="J65" s="704"/>
      <c r="K65" s="704"/>
    </row>
    <row r="66" spans="1:12" ht="54.95" customHeight="1" thickBot="1" x14ac:dyDescent="0.3">
      <c r="A66" s="55"/>
      <c r="B66" s="55"/>
      <c r="C66" s="2030" t="s">
        <v>455</v>
      </c>
      <c r="D66" s="2031"/>
      <c r="E66" s="2030" t="s">
        <v>777</v>
      </c>
      <c r="F66" s="2031"/>
      <c r="G66" s="2030" t="s">
        <v>778</v>
      </c>
      <c r="H66" s="2031"/>
      <c r="I66" s="55"/>
      <c r="J66" s="686"/>
      <c r="K66" s="51"/>
    </row>
    <row r="67" spans="1:12" ht="54.95" customHeight="1" thickBot="1" x14ac:dyDescent="0.3">
      <c r="A67" s="55"/>
      <c r="C67" s="835" t="s">
        <v>779</v>
      </c>
      <c r="D67" s="836" t="s">
        <v>780</v>
      </c>
      <c r="E67" s="835" t="s">
        <v>779</v>
      </c>
      <c r="F67" s="836" t="s">
        <v>781</v>
      </c>
      <c r="G67" s="835" t="s">
        <v>779</v>
      </c>
      <c r="H67" s="836" t="s">
        <v>781</v>
      </c>
      <c r="I67" s="1524"/>
      <c r="J67" s="1524"/>
      <c r="K67" s="51"/>
    </row>
    <row r="68" spans="1:12" ht="54.95" customHeight="1" thickBot="1" x14ac:dyDescent="0.3">
      <c r="A68" s="307"/>
      <c r="B68" s="822"/>
      <c r="C68" s="707" t="e">
        <f>VLOOKUP($B$68,'DATOS ¬'!Q26:W28,2,FALSE)</f>
        <v>#N/A</v>
      </c>
      <c r="D68" s="708" t="e">
        <f>VLOOKUP($B$68,'DATOS ¬'!Q26:W28,3,FALSE)</f>
        <v>#N/A</v>
      </c>
      <c r="E68" s="708" t="e">
        <f>VLOOKUP($B$68,'DATOS ¬'!Q26:W28,4,FALSE)</f>
        <v>#N/A</v>
      </c>
      <c r="F68" s="708" t="e">
        <f>VLOOKUP($B$68,'DATOS ¬'!Q26:W28,5,FALSE)</f>
        <v>#N/A</v>
      </c>
      <c r="G68" s="709" t="e">
        <f>VLOOKUP($B$68,'DATOS ¬'!Q26:W28,6,FALSE)</f>
        <v>#N/A</v>
      </c>
      <c r="H68" s="710" t="e">
        <f>VLOOKUP($B$68,'DATOS ¬'!Q26:W28,7,FALSE)</f>
        <v>#N/A</v>
      </c>
      <c r="I68" s="1978"/>
      <c r="J68" s="1978"/>
      <c r="K68" s="51"/>
    </row>
    <row r="69" spans="1:12" ht="32.1" customHeight="1" x14ac:dyDescent="0.25">
      <c r="A69" s="682"/>
    </row>
    <row r="70" spans="1:12" ht="125.1" customHeight="1" x14ac:dyDescent="0.25">
      <c r="A70" s="682"/>
    </row>
    <row r="71" spans="1:12" ht="35.1" customHeight="1" x14ac:dyDescent="0.25">
      <c r="A71" s="682"/>
    </row>
    <row r="72" spans="1:12" ht="65.099999999999994" customHeight="1" x14ac:dyDescent="0.25">
      <c r="A72" s="682"/>
      <c r="H72" s="1969" t="s">
        <v>741</v>
      </c>
      <c r="I72" s="1969"/>
      <c r="J72" s="1962">
        <f>J3</f>
        <v>0</v>
      </c>
      <c r="K72" s="1962"/>
    </row>
    <row r="73" spans="1:12" ht="24.95" customHeight="1" x14ac:dyDescent="0.25">
      <c r="A73" s="1963" t="s">
        <v>782</v>
      </c>
      <c r="B73" s="1963"/>
      <c r="C73" s="1963"/>
      <c r="D73" s="1963"/>
      <c r="E73" s="1963"/>
      <c r="F73" s="55"/>
      <c r="G73" s="55"/>
      <c r="H73" s="55"/>
      <c r="I73" s="55"/>
      <c r="J73" s="711"/>
      <c r="K73" s="51"/>
    </row>
    <row r="74" spans="1:12" ht="9.9499999999999993" customHeight="1" x14ac:dyDescent="0.25">
      <c r="A74" s="433"/>
      <c r="B74" s="55"/>
      <c r="C74" s="55"/>
      <c r="D74" s="55"/>
      <c r="E74" s="55"/>
      <c r="F74" s="55"/>
      <c r="G74" s="55"/>
      <c r="H74" s="55"/>
      <c r="I74" s="55"/>
      <c r="J74" s="686"/>
      <c r="K74" s="51"/>
    </row>
    <row r="75" spans="1:12" ht="45" customHeight="1" x14ac:dyDescent="0.25">
      <c r="A75" s="1966" t="s">
        <v>783</v>
      </c>
      <c r="B75" s="1966"/>
      <c r="C75" s="1966"/>
      <c r="D75" s="1966"/>
      <c r="E75" s="1966"/>
      <c r="F75" s="1966"/>
      <c r="G75" s="1966"/>
      <c r="H75" s="1966"/>
      <c r="I75" s="1966"/>
      <c r="J75" s="1966"/>
      <c r="K75" s="1966"/>
      <c r="L75" s="1966"/>
    </row>
    <row r="76" spans="1:12" ht="15.95" customHeight="1" x14ac:dyDescent="0.25">
      <c r="A76" s="712"/>
      <c r="B76" s="712"/>
      <c r="C76" s="712"/>
      <c r="D76" s="712"/>
      <c r="E76" s="712"/>
      <c r="F76" s="712"/>
      <c r="G76" s="712"/>
      <c r="H76" s="712"/>
      <c r="I76" s="712"/>
      <c r="J76" s="712"/>
      <c r="K76" s="51"/>
    </row>
    <row r="77" spans="1:12" s="713" customFormat="1" ht="24.95" customHeight="1" x14ac:dyDescent="0.3">
      <c r="A77" s="1963" t="s">
        <v>784</v>
      </c>
      <c r="B77" s="1963"/>
      <c r="C77" s="1963"/>
      <c r="D77" s="1963"/>
      <c r="E77" s="1963"/>
      <c r="F77" s="55"/>
      <c r="G77" s="55"/>
      <c r="H77" s="51"/>
      <c r="I77" s="51"/>
      <c r="J77" s="686"/>
      <c r="K77" s="51"/>
    </row>
    <row r="78" spans="1:12" ht="9.9499999999999993" customHeight="1" x14ac:dyDescent="0.25">
      <c r="A78" s="829"/>
      <c r="B78" s="829"/>
      <c r="C78" s="829"/>
      <c r="D78" s="829"/>
      <c r="E78" s="829"/>
      <c r="F78" s="55"/>
      <c r="G78" s="55"/>
      <c r="H78" s="51"/>
      <c r="I78" s="51"/>
      <c r="J78" s="686"/>
      <c r="K78" s="51"/>
    </row>
    <row r="79" spans="1:12" ht="42.75" customHeight="1" x14ac:dyDescent="0.25">
      <c r="A79" s="1966" t="s">
        <v>785</v>
      </c>
      <c r="B79" s="1966"/>
      <c r="C79" s="1966"/>
      <c r="D79" s="1966"/>
      <c r="E79" s="1966"/>
      <c r="F79" s="1966"/>
      <c r="G79" s="1966"/>
      <c r="H79" s="1966"/>
      <c r="I79" s="1966"/>
      <c r="J79" s="1966"/>
      <c r="K79" s="1966"/>
      <c r="L79" s="1966"/>
    </row>
    <row r="80" spans="1:12" ht="15.95" customHeight="1" thickBot="1" x14ac:dyDescent="0.3">
      <c r="A80" s="503"/>
      <c r="B80" s="503"/>
      <c r="C80" s="503"/>
      <c r="D80" s="503"/>
      <c r="E80" s="503"/>
      <c r="F80" s="503"/>
      <c r="G80" s="503"/>
      <c r="H80" s="503"/>
      <c r="I80" s="503"/>
      <c r="J80" s="503"/>
    </row>
    <row r="81" spans="1:12" ht="33" customHeight="1" thickBot="1" x14ac:dyDescent="0.3">
      <c r="A81" s="1975" t="s">
        <v>337</v>
      </c>
      <c r="B81" s="1976"/>
      <c r="C81" s="1977"/>
      <c r="D81" s="716" t="s">
        <v>24</v>
      </c>
      <c r="E81" s="1975" t="s">
        <v>338</v>
      </c>
      <c r="F81" s="1977"/>
      <c r="G81" s="1975" t="s">
        <v>339</v>
      </c>
      <c r="H81" s="1976"/>
      <c r="I81" s="1975" t="s">
        <v>340</v>
      </c>
      <c r="J81" s="1977"/>
      <c r="K81" s="717"/>
    </row>
    <row r="82" spans="1:12" ht="39.950000000000003" customHeight="1" x14ac:dyDescent="0.25">
      <c r="A82" s="1990" t="str">
        <f>'DATOS ¬'!N221</f>
        <v>Instrumento de pesaje de funcionamiento no automático-IPFNA</v>
      </c>
      <c r="B82" s="1991"/>
      <c r="C82" s="1991"/>
      <c r="D82" s="718" t="e">
        <f>'DATOS ¬'!Q221</f>
        <v>#N/A</v>
      </c>
      <c r="E82" s="1992" t="e">
        <f>'DATOS ¬'!R221</f>
        <v>#N/A</v>
      </c>
      <c r="F82" s="1992"/>
      <c r="G82" s="1993" t="e">
        <f>'DATOS ¬'!T221</f>
        <v>#N/A</v>
      </c>
      <c r="H82" s="1992"/>
      <c r="I82" s="1993" t="e">
        <f>'DATOS ¬'!V221</f>
        <v>#N/A</v>
      </c>
      <c r="J82" s="1994"/>
      <c r="K82" s="717"/>
    </row>
    <row r="83" spans="1:12" ht="39.950000000000003" customHeight="1" x14ac:dyDescent="0.25">
      <c r="A83" s="1979" t="str">
        <f>'DATOS ¬'!N222</f>
        <v>Termómetro digital con PRT Pt100</v>
      </c>
      <c r="B83" s="1980"/>
      <c r="C83" s="1980"/>
      <c r="D83" s="719" t="e">
        <f>'DATOS ¬'!Q222</f>
        <v>#N/A</v>
      </c>
      <c r="E83" s="1982" t="e">
        <f>'DATOS ¬'!R222</f>
        <v>#N/A</v>
      </c>
      <c r="F83" s="1982"/>
      <c r="G83" s="1981" t="e">
        <f>'DATOS ¬'!T222</f>
        <v>#N/A</v>
      </c>
      <c r="H83" s="1982"/>
      <c r="I83" s="1981" t="e">
        <f>'DATOS ¬'!V222</f>
        <v>#N/A</v>
      </c>
      <c r="J83" s="1983"/>
      <c r="K83" s="717"/>
    </row>
    <row r="84" spans="1:12" ht="101.25" customHeight="1" x14ac:dyDescent="0.25">
      <c r="A84" s="1979" t="str">
        <f>'DATOS ¬'!N223</f>
        <v>Termohigrómetro</v>
      </c>
      <c r="B84" s="1980"/>
      <c r="C84" s="1980"/>
      <c r="D84" s="719" t="e">
        <f>'DATOS ¬'!Q223</f>
        <v>#N/A</v>
      </c>
      <c r="E84" s="1980" t="str">
        <f>'DATOS ¬'!R223</f>
        <v xml:space="preserve">
Temperatura: -20 °C a 50 °C
Humedad Relativa: 0 %hr a 100 %hr
Presión aire: 300 hPa a 1 100 hPa</v>
      </c>
      <c r="F84" s="1980"/>
      <c r="G84" s="1981" t="e">
        <f>'DATOS ¬'!T223</f>
        <v>#N/A</v>
      </c>
      <c r="H84" s="1982"/>
      <c r="I84" s="1981" t="e">
        <f>'DATOS ¬'!V223</f>
        <v>#N/A</v>
      </c>
      <c r="J84" s="1983"/>
      <c r="K84" s="717"/>
    </row>
    <row r="85" spans="1:12" ht="39.950000000000003" customHeight="1" thickBot="1" x14ac:dyDescent="0.3">
      <c r="A85" s="1984" t="str">
        <f>'DATOS ¬'!N224</f>
        <v>Agua grado 3</v>
      </c>
      <c r="B85" s="1985"/>
      <c r="C85" s="1985"/>
      <c r="D85" s="720" t="str">
        <f>'DATOS ¬'!Q224</f>
        <v>N/A</v>
      </c>
      <c r="E85" s="1986" t="str">
        <f>'DATOS ¬'!R224</f>
        <v>N/A</v>
      </c>
      <c r="F85" s="1986"/>
      <c r="G85" s="1987" t="str">
        <f>'DATOS ¬'!T224</f>
        <v>N/A</v>
      </c>
      <c r="H85" s="1986"/>
      <c r="I85" s="1988" t="str">
        <f>'DATOS ¬'!V224</f>
        <v>Laboratorio SIC.</v>
      </c>
      <c r="J85" s="1989"/>
      <c r="K85" s="721"/>
    </row>
    <row r="86" spans="1:12" ht="24.95" customHeight="1" x14ac:dyDescent="0.25">
      <c r="B86" s="682"/>
      <c r="C86" s="682"/>
      <c r="D86" s="503"/>
      <c r="E86" s="503"/>
      <c r="F86" s="683"/>
      <c r="G86" s="503"/>
      <c r="H86" s="503"/>
      <c r="I86" s="503"/>
      <c r="J86" s="503"/>
      <c r="K86" s="722"/>
      <c r="L86" s="722"/>
    </row>
    <row r="87" spans="1:12" s="713" customFormat="1" ht="24.95" customHeight="1" x14ac:dyDescent="0.3">
      <c r="A87" s="1963" t="s">
        <v>786</v>
      </c>
      <c r="B87" s="1963"/>
      <c r="C87" s="1963"/>
      <c r="D87" s="1963"/>
      <c r="E87" s="1963"/>
      <c r="F87" s="1963"/>
      <c r="G87" s="1963"/>
      <c r="H87" s="1963"/>
      <c r="I87" s="1963"/>
      <c r="J87" s="1963"/>
      <c r="K87" s="1963"/>
      <c r="L87" s="723"/>
    </row>
    <row r="88" spans="1:12" s="713" customFormat="1" ht="12" customHeight="1" thickBot="1" x14ac:dyDescent="0.35">
      <c r="A88" s="837"/>
      <c r="B88" s="837"/>
      <c r="C88" s="837"/>
      <c r="D88" s="837"/>
      <c r="E88" s="837"/>
      <c r="F88" s="832"/>
      <c r="G88" s="832"/>
      <c r="H88" s="832"/>
      <c r="I88" s="832"/>
      <c r="J88" s="725"/>
      <c r="K88" s="723"/>
      <c r="L88" s="723"/>
    </row>
    <row r="89" spans="1:12" ht="15" hidden="1" customHeight="1" thickBot="1" x14ac:dyDescent="0.3">
      <c r="A89" s="2001" t="s">
        <v>629</v>
      </c>
      <c r="B89" s="2001"/>
      <c r="C89" s="2001"/>
      <c r="D89" s="2001"/>
      <c r="E89" s="2001"/>
      <c r="F89" s="2001"/>
      <c r="G89" s="2001"/>
      <c r="H89" s="2001"/>
      <c r="I89" s="2001"/>
      <c r="J89" s="725"/>
      <c r="K89" s="722"/>
      <c r="L89" s="722"/>
    </row>
    <row r="90" spans="1:12" ht="30" hidden="1" customHeight="1" thickBot="1" x14ac:dyDescent="0.3">
      <c r="A90" s="2032" t="s">
        <v>787</v>
      </c>
      <c r="B90" s="2033"/>
      <c r="C90" s="2032" t="s">
        <v>788</v>
      </c>
      <c r="D90" s="2034"/>
      <c r="E90" s="2033"/>
      <c r="F90" s="2032" t="s">
        <v>789</v>
      </c>
      <c r="G90" s="2033"/>
      <c r="H90" s="838" t="s">
        <v>790</v>
      </c>
      <c r="I90" s="839"/>
      <c r="J90" s="840" t="s">
        <v>791</v>
      </c>
      <c r="K90" s="734" t="s">
        <v>792</v>
      </c>
    </row>
    <row r="91" spans="1:12" s="722" customFormat="1" ht="24" hidden="1" customHeight="1" thickBot="1" x14ac:dyDescent="0.3">
      <c r="A91" s="2005" t="str">
        <f>H59</f>
        <v xml:space="preserve"> °C</v>
      </c>
      <c r="B91" s="2006"/>
      <c r="C91" s="2011" t="e">
        <f>'RT03-F52 ¬ '!C52</f>
        <v>#N/A</v>
      </c>
      <c r="D91" s="2011"/>
      <c r="E91" s="730" t="s">
        <v>203</v>
      </c>
      <c r="F91" s="731" t="e">
        <f>'RT03-F52 ¬ '!B194</f>
        <v>#N/A</v>
      </c>
      <c r="G91" s="730" t="s">
        <v>203</v>
      </c>
      <c r="H91" s="732" t="e">
        <f>IF('RT03-F52 ¬ '!E194&lt;='CMC ¬'!D12,'CMC ¬'!D12,'RT03-F52 ¬ '!E194)</f>
        <v>#N/A</v>
      </c>
      <c r="I91" s="730" t="s">
        <v>203</v>
      </c>
      <c r="J91" s="733" t="e">
        <f>'RT03-F52 ¬ '!H194</f>
        <v>#N/A</v>
      </c>
      <c r="K91" s="2012" t="e">
        <f>IF(AND('PC ¬'!H5&gt;=97.5%,'PC ¬'!I5&lt;=2.5%),"SI","NO")</f>
        <v>#N/A</v>
      </c>
    </row>
    <row r="92" spans="1:12" s="722" customFormat="1" ht="24" hidden="1" customHeight="1" thickBot="1" x14ac:dyDescent="0.3">
      <c r="A92" s="2007"/>
      <c r="B92" s="2008"/>
      <c r="C92" s="2015" t="e">
        <f>C91/16.38706</f>
        <v>#N/A</v>
      </c>
      <c r="D92" s="2015"/>
      <c r="E92" s="734" t="s">
        <v>793</v>
      </c>
      <c r="F92" s="735" t="e">
        <f>'RT03-F52 ¬ '!B195</f>
        <v>#N/A</v>
      </c>
      <c r="G92" s="736" t="s">
        <v>793</v>
      </c>
      <c r="H92" s="732" t="e">
        <f>IF('RT03-F52 ¬ '!E195&lt;='CMC ¬'!E12,'CMC ¬'!E12,'RT03-F52 ¬ '!E195)</f>
        <v>#N/A</v>
      </c>
      <c r="I92" s="736" t="s">
        <v>793</v>
      </c>
      <c r="J92" s="737" t="e">
        <f>'RT03-F52 ¬ '!H195</f>
        <v>#N/A</v>
      </c>
      <c r="K92" s="2013"/>
    </row>
    <row r="93" spans="1:12" s="722" customFormat="1" ht="24" hidden="1" customHeight="1" thickBot="1" x14ac:dyDescent="0.3">
      <c r="A93" s="2007"/>
      <c r="B93" s="2008"/>
      <c r="C93" s="1996" t="e">
        <f>(C91/1000)/3.785412</f>
        <v>#N/A</v>
      </c>
      <c r="D93" s="2016"/>
      <c r="E93" s="734" t="s">
        <v>469</v>
      </c>
      <c r="F93" s="823" t="e">
        <f>'RT03-F52 ¬ '!B196</f>
        <v>#N/A</v>
      </c>
      <c r="G93" s="736" t="s">
        <v>469</v>
      </c>
      <c r="H93" s="824" t="e">
        <f>IF('RT03-F52 ¬ '!E196&lt;='CMC ¬'!F12,'CMC ¬'!F12,'RT03-F52 ¬ '!E196)</f>
        <v>#N/A</v>
      </c>
      <c r="I93" s="736" t="s">
        <v>469</v>
      </c>
      <c r="J93" s="738" t="e">
        <f>'RT03-F52 ¬ '!H196</f>
        <v>#N/A</v>
      </c>
      <c r="K93" s="2013"/>
    </row>
    <row r="94" spans="1:12" ht="24" hidden="1" customHeight="1" thickBot="1" x14ac:dyDescent="0.3">
      <c r="A94" s="2009"/>
      <c r="B94" s="2010"/>
      <c r="C94" s="1997">
        <v>100</v>
      </c>
      <c r="D94" s="1998"/>
      <c r="E94" s="734" t="s">
        <v>499</v>
      </c>
      <c r="F94" s="825" t="e">
        <f>'RT03-F52 ¬ '!B197</f>
        <v>#N/A</v>
      </c>
      <c r="G94" s="734" t="s">
        <v>499</v>
      </c>
      <c r="H94" s="732" t="e">
        <f>IF('RT03-F52 ¬ '!E197&lt;='CMC ¬'!G12,'CMC ¬'!G12,'RT03-F52 ¬ '!E197)</f>
        <v>#N/A</v>
      </c>
      <c r="I94" s="736" t="s">
        <v>499</v>
      </c>
      <c r="J94" s="739" t="e">
        <f>'RT03-F52 ¬ '!H197</f>
        <v>#N/A</v>
      </c>
      <c r="K94" s="2014"/>
    </row>
    <row r="95" spans="1:12" ht="20.100000000000001" hidden="1" customHeight="1" x14ac:dyDescent="0.25">
      <c r="A95" s="740"/>
      <c r="B95" s="741"/>
      <c r="C95" s="742"/>
      <c r="D95" s="742"/>
      <c r="E95" s="743"/>
      <c r="F95" s="744"/>
      <c r="G95" s="743"/>
      <c r="H95" s="745"/>
      <c r="I95" s="745"/>
      <c r="J95" s="745"/>
      <c r="K95" s="745"/>
      <c r="L95" s="745"/>
    </row>
    <row r="96" spans="1:12" ht="15" hidden="1" customHeight="1" thickBot="1" x14ac:dyDescent="0.3">
      <c r="A96" s="746" t="s">
        <v>630</v>
      </c>
      <c r="B96" s="746"/>
      <c r="C96" s="746"/>
      <c r="D96" s="746"/>
      <c r="E96" s="746"/>
      <c r="F96" s="746"/>
      <c r="G96" s="746"/>
      <c r="H96" s="746"/>
      <c r="I96" s="746"/>
      <c r="J96" s="746"/>
      <c r="K96" s="746"/>
      <c r="L96" s="746"/>
    </row>
    <row r="97" spans="1:12" s="717" customFormat="1" ht="30" hidden="1" customHeight="1" thickBot="1" x14ac:dyDescent="0.25">
      <c r="A97" s="838" t="s">
        <v>787</v>
      </c>
      <c r="B97" s="841"/>
      <c r="C97" s="838" t="s">
        <v>788</v>
      </c>
      <c r="D97" s="841"/>
      <c r="E97" s="838"/>
      <c r="F97" s="2032" t="s">
        <v>789</v>
      </c>
      <c r="G97" s="2034"/>
      <c r="H97" s="838" t="s">
        <v>794</v>
      </c>
      <c r="I97" s="839"/>
      <c r="J97" s="840" t="s">
        <v>795</v>
      </c>
      <c r="K97" s="734" t="s">
        <v>792</v>
      </c>
    </row>
    <row r="98" spans="1:12" ht="24" hidden="1" customHeight="1" thickBot="1" x14ac:dyDescent="0.3">
      <c r="A98" s="2005" t="str">
        <f>H59</f>
        <v xml:space="preserve"> °C</v>
      </c>
      <c r="B98" s="2006"/>
      <c r="C98" s="2011" t="e">
        <f>C91</f>
        <v>#N/A</v>
      </c>
      <c r="D98" s="2011"/>
      <c r="E98" s="734" t="s">
        <v>203</v>
      </c>
      <c r="F98" s="748" t="e">
        <f>'Despues de ajuste RT03-F52 ¬'!B194</f>
        <v>#N/A</v>
      </c>
      <c r="G98" s="749" t="s">
        <v>203</v>
      </c>
      <c r="H98" s="732" t="e">
        <f>IF('Despues de ajuste RT03-F52 ¬'!E194&lt;='CMC ¬'!D12,'CMC ¬'!D12,'Despues de ajuste RT03-F52 ¬'!E194)</f>
        <v>#N/A</v>
      </c>
      <c r="I98" s="734" t="s">
        <v>203</v>
      </c>
      <c r="J98" s="750" t="e">
        <f>'Despues de ajuste RT03-F52 ¬'!H194</f>
        <v>#N/A</v>
      </c>
      <c r="K98" s="2023" t="e">
        <f>IF(AND('PC ¬'!H11&gt;=97.5%,'PC ¬'!I11&lt;=2.5%),"SI","NO")</f>
        <v>#N/A</v>
      </c>
    </row>
    <row r="99" spans="1:12" ht="24" hidden="1" customHeight="1" thickBot="1" x14ac:dyDescent="0.3">
      <c r="A99" s="2007"/>
      <c r="B99" s="2008"/>
      <c r="C99" s="2015" t="e">
        <f>C92</f>
        <v>#N/A</v>
      </c>
      <c r="D99" s="2015"/>
      <c r="E99" s="734" t="s">
        <v>796</v>
      </c>
      <c r="F99" s="735" t="e">
        <f>'Despues de ajuste RT03-F52 ¬'!B195</f>
        <v>#N/A</v>
      </c>
      <c r="G99" s="749" t="s">
        <v>793</v>
      </c>
      <c r="H99" s="732" t="e">
        <f>IF('Despues de ajuste RT03-F52 ¬'!E195&lt;='CMC ¬'!E12,'CMC ¬'!E12,'Despues de ajuste RT03-F52 ¬'!E195)</f>
        <v>#N/A</v>
      </c>
      <c r="I99" s="734" t="s">
        <v>793</v>
      </c>
      <c r="J99" s="751" t="e">
        <f>'Despues de ajuste RT03-F52 ¬'!H195</f>
        <v>#N/A</v>
      </c>
      <c r="K99" s="2024"/>
    </row>
    <row r="100" spans="1:12" ht="24" hidden="1" customHeight="1" thickBot="1" x14ac:dyDescent="0.3">
      <c r="A100" s="2007"/>
      <c r="B100" s="2008"/>
      <c r="C100" s="1995" t="e">
        <f>C93</f>
        <v>#N/A</v>
      </c>
      <c r="D100" s="1996"/>
      <c r="E100" s="734" t="s">
        <v>469</v>
      </c>
      <c r="F100" s="752" t="e">
        <f>'Despues de ajuste RT03-F52 ¬'!B196</f>
        <v>#N/A</v>
      </c>
      <c r="G100" s="749" t="s">
        <v>469</v>
      </c>
      <c r="H100" s="753" t="e">
        <f>IF('Despues de ajuste RT03-F52 ¬'!E196&lt;='CMC ¬'!F12,'CMC ¬'!F12,'Despues de ajuste RT03-F52 ¬'!E196)</f>
        <v>#N/A</v>
      </c>
      <c r="I100" s="734" t="s">
        <v>469</v>
      </c>
      <c r="J100" s="754" t="e">
        <f>'Despues de ajuste RT03-F52 ¬'!H196</f>
        <v>#N/A</v>
      </c>
      <c r="K100" s="2024"/>
    </row>
    <row r="101" spans="1:12" ht="24" hidden="1" customHeight="1" thickBot="1" x14ac:dyDescent="0.3">
      <c r="A101" s="2009"/>
      <c r="B101" s="2010"/>
      <c r="C101" s="1997">
        <f>C94</f>
        <v>100</v>
      </c>
      <c r="D101" s="1998"/>
      <c r="E101" s="734" t="s">
        <v>499</v>
      </c>
      <c r="F101" s="755" t="e">
        <f>'Despues de ajuste RT03-F52 ¬'!B197</f>
        <v>#N/A</v>
      </c>
      <c r="G101" s="736" t="s">
        <v>499</v>
      </c>
      <c r="H101" s="756" t="e">
        <f>IF('Despues de ajuste RT03-F52 ¬'!E197&lt;='CMC ¬'!G12,'CMC ¬'!G12,'Despues de ajuste RT03-F52 ¬'!E197)</f>
        <v>#N/A</v>
      </c>
      <c r="I101" s="734" t="s">
        <v>499</v>
      </c>
      <c r="J101" s="757" t="e">
        <f>'Despues de ajuste RT03-F52 ¬'!H197</f>
        <v>#N/A</v>
      </c>
      <c r="K101" s="2025"/>
    </row>
    <row r="102" spans="1:12" ht="11.25" hidden="1" customHeight="1" x14ac:dyDescent="0.25"/>
    <row r="103" spans="1:12" ht="35.1" hidden="1" customHeight="1" x14ac:dyDescent="0.25">
      <c r="A103" s="2035" t="s">
        <v>797</v>
      </c>
      <c r="B103" s="2035"/>
      <c r="C103" s="2035"/>
      <c r="D103" s="2035"/>
      <c r="E103" s="2035"/>
      <c r="F103" s="2035"/>
      <c r="G103" s="2035"/>
      <c r="H103" s="2035"/>
      <c r="I103" s="2035"/>
      <c r="J103" s="2035"/>
      <c r="K103" s="2035"/>
      <c r="L103" s="2035"/>
    </row>
    <row r="104" spans="1:12" ht="8.25" hidden="1" customHeight="1" thickBot="1" x14ac:dyDescent="0.3">
      <c r="A104" s="722"/>
      <c r="B104" s="722"/>
      <c r="C104" s="722"/>
      <c r="D104" s="722"/>
      <c r="E104" s="722"/>
      <c r="F104" s="722"/>
      <c r="G104" s="722"/>
      <c r="H104" s="722"/>
      <c r="I104" s="722"/>
      <c r="J104" s="722"/>
      <c r="K104" s="722"/>
    </row>
    <row r="105" spans="1:12" ht="24.95" customHeight="1" thickBot="1" x14ac:dyDescent="0.3">
      <c r="A105" s="722"/>
      <c r="B105" s="722"/>
      <c r="C105" s="722"/>
      <c r="D105" s="722"/>
      <c r="E105" s="758" t="s">
        <v>798</v>
      </c>
      <c r="F105" s="759" t="e">
        <f>(C91*0.05%)</f>
        <v>#N/A</v>
      </c>
      <c r="G105" s="758" t="s">
        <v>203</v>
      </c>
      <c r="H105" s="722"/>
      <c r="I105" s="760"/>
      <c r="J105" s="722"/>
      <c r="K105" s="722"/>
    </row>
    <row r="106" spans="1:12" ht="24.95" customHeight="1" x14ac:dyDescent="0.25">
      <c r="A106" s="722"/>
      <c r="B106" s="722"/>
      <c r="C106" s="722"/>
      <c r="D106" s="722"/>
      <c r="E106" s="722"/>
      <c r="F106" s="722"/>
      <c r="G106" s="722"/>
      <c r="H106" s="722"/>
      <c r="I106" s="761"/>
      <c r="J106" s="722"/>
      <c r="K106" s="722"/>
    </row>
    <row r="107" spans="1:12" ht="15.95" customHeight="1" x14ac:dyDescent="0.25">
      <c r="A107" s="722"/>
      <c r="B107" s="722"/>
      <c r="C107" s="722"/>
      <c r="D107" s="722"/>
      <c r="E107" s="722"/>
      <c r="F107" s="722"/>
      <c r="G107" s="722"/>
      <c r="H107" s="722"/>
      <c r="I107" s="760"/>
      <c r="J107" s="722"/>
      <c r="K107" s="722"/>
    </row>
    <row r="108" spans="1:12" ht="125.1" customHeight="1" x14ac:dyDescent="0.25">
      <c r="A108" s="722"/>
      <c r="B108" s="722"/>
      <c r="C108" s="722"/>
      <c r="D108" s="722"/>
      <c r="E108" s="722"/>
      <c r="F108" s="722"/>
      <c r="G108" s="722"/>
      <c r="H108" s="722"/>
      <c r="I108" s="760"/>
      <c r="J108" s="722"/>
      <c r="K108" s="722"/>
    </row>
    <row r="109" spans="1:12" ht="35.1" customHeight="1" x14ac:dyDescent="0.25">
      <c r="A109" s="722"/>
      <c r="B109" s="722"/>
      <c r="C109" s="722"/>
      <c r="D109" s="722"/>
      <c r="E109" s="722"/>
      <c r="F109" s="722"/>
      <c r="G109" s="722"/>
      <c r="H109" s="722"/>
      <c r="I109" s="760"/>
      <c r="J109" s="722"/>
      <c r="K109" s="722"/>
    </row>
    <row r="110" spans="1:12" ht="65.099999999999994" customHeight="1" thickBot="1" x14ac:dyDescent="0.3">
      <c r="A110" s="722"/>
      <c r="B110" s="722"/>
      <c r="C110" s="722"/>
      <c r="D110" s="722"/>
      <c r="E110" s="722"/>
      <c r="F110" s="722"/>
      <c r="G110" s="722"/>
      <c r="H110" s="2036" t="s">
        <v>741</v>
      </c>
      <c r="I110" s="2036"/>
      <c r="J110" s="2037">
        <f>J3</f>
        <v>0</v>
      </c>
      <c r="K110" s="1955"/>
    </row>
    <row r="111" spans="1:12" ht="18" customHeight="1" thickBot="1" x14ac:dyDescent="0.3">
      <c r="A111" s="1959" t="s">
        <v>799</v>
      </c>
      <c r="B111" s="1959"/>
      <c r="C111" s="1959"/>
      <c r="D111" s="1959"/>
      <c r="E111" s="1959"/>
      <c r="F111" s="1492" t="s">
        <v>608</v>
      </c>
      <c r="G111" s="51"/>
      <c r="H111" s="762"/>
    </row>
    <row r="112" spans="1:12" ht="7.5" customHeight="1" thickBot="1" x14ac:dyDescent="0.3">
      <c r="A112" s="50"/>
      <c r="B112" s="50"/>
      <c r="C112" s="50"/>
      <c r="D112" s="50"/>
      <c r="E112" s="50"/>
      <c r="F112" s="1488"/>
      <c r="G112" s="51"/>
      <c r="H112" s="51"/>
      <c r="I112" s="763"/>
      <c r="J112" s="503"/>
    </row>
    <row r="113" spans="1:12" ht="15" customHeight="1" thickBot="1" x14ac:dyDescent="0.3">
      <c r="A113" s="1959" t="s">
        <v>801</v>
      </c>
      <c r="B113" s="1959"/>
      <c r="C113" s="1959"/>
      <c r="D113" s="1959"/>
      <c r="E113" s="1959"/>
      <c r="F113" s="1493" t="s">
        <v>608</v>
      </c>
      <c r="G113" s="50"/>
      <c r="H113" s="50"/>
      <c r="I113" s="50"/>
      <c r="J113" s="682"/>
    </row>
    <row r="114" spans="1:12" ht="6" customHeight="1" x14ac:dyDescent="0.25">
      <c r="A114" s="764"/>
      <c r="B114" s="764"/>
      <c r="C114" s="764"/>
      <c r="D114" s="764"/>
      <c r="E114" s="764"/>
      <c r="F114" s="764"/>
      <c r="G114" s="764"/>
      <c r="H114" s="51"/>
      <c r="I114" s="51"/>
    </row>
    <row r="115" spans="1:12" ht="16.5" customHeight="1" x14ac:dyDescent="0.25">
      <c r="A115" s="1759" t="s">
        <v>802</v>
      </c>
      <c r="B115" s="1759"/>
      <c r="C115" s="1759"/>
      <c r="D115" s="1759"/>
      <c r="E115" s="1759"/>
      <c r="F115" s="1759"/>
      <c r="G115" s="1759"/>
      <c r="H115" s="1759"/>
      <c r="I115" s="1759"/>
      <c r="J115" s="683"/>
    </row>
    <row r="116" spans="1:12" ht="20.100000000000001" customHeight="1" thickBot="1" x14ac:dyDescent="0.3">
      <c r="A116" s="55"/>
      <c r="B116" s="55"/>
      <c r="C116" s="55"/>
      <c r="D116" s="55"/>
      <c r="E116" s="561"/>
      <c r="F116" s="2038" t="s">
        <v>602</v>
      </c>
      <c r="G116" s="2038"/>
      <c r="H116" s="51"/>
      <c r="I116" s="51"/>
      <c r="J116" s="51"/>
      <c r="K116" s="51"/>
    </row>
    <row r="117" spans="1:12" ht="16.5" customHeight="1" thickBot="1" x14ac:dyDescent="0.3">
      <c r="A117" s="50"/>
      <c r="C117" s="843" t="e">
        <f>'CALIBRACIÓN DE LA ESCALA ¬'!C52</f>
        <v>#N/A</v>
      </c>
      <c r="D117" s="844" t="s">
        <v>203</v>
      </c>
      <c r="E117" s="2039" t="s">
        <v>803</v>
      </c>
      <c r="F117" s="845" t="e">
        <f>'CALIBRACIÓN DE LA ESCALA ¬'!F52</f>
        <v>#N/A</v>
      </c>
      <c r="G117" s="842" t="s">
        <v>203</v>
      </c>
      <c r="I117" s="51"/>
      <c r="J117" s="51"/>
      <c r="K117" s="51"/>
    </row>
    <row r="118" spans="1:12" ht="17.25" customHeight="1" thickBot="1" x14ac:dyDescent="0.3">
      <c r="A118" s="55"/>
      <c r="C118" s="846" t="e">
        <f>'CALIBRACIÓN DE LA ESCALA ¬'!C53</f>
        <v>#N/A</v>
      </c>
      <c r="D118" s="847" t="s">
        <v>740</v>
      </c>
      <c r="E118" s="2040"/>
      <c r="F118" s="848" t="e">
        <f>'CALIBRACIÓN DE LA ESCALA ¬'!F53</f>
        <v>#N/A</v>
      </c>
      <c r="G118" s="842" t="s">
        <v>830</v>
      </c>
      <c r="I118" s="51"/>
      <c r="J118" s="51"/>
      <c r="K118" s="51"/>
    </row>
    <row r="119" spans="1:12" ht="15" customHeight="1" thickBot="1" x14ac:dyDescent="0.3">
      <c r="A119" s="55"/>
      <c r="C119" s="849" t="e">
        <f>'CALIBRACIÓN DE LA ESCALA ¬'!C54</f>
        <v>#N/A</v>
      </c>
      <c r="D119" s="850" t="s">
        <v>499</v>
      </c>
      <c r="E119" s="2041"/>
      <c r="F119" s="848" t="e">
        <f>'CALIBRACIÓN DE LA ESCALA ¬'!F54</f>
        <v>#N/A</v>
      </c>
      <c r="G119" s="842" t="s">
        <v>499</v>
      </c>
      <c r="I119" s="51"/>
      <c r="J119" s="51"/>
      <c r="K119" s="51"/>
    </row>
    <row r="120" spans="1:12" ht="24.95" customHeight="1" x14ac:dyDescent="0.25">
      <c r="A120" s="55"/>
      <c r="B120" s="51"/>
      <c r="C120" s="51"/>
      <c r="D120" s="51"/>
      <c r="E120" s="561"/>
      <c r="F120" s="561"/>
      <c r="G120" s="561"/>
      <c r="H120" s="830"/>
      <c r="I120" s="607"/>
      <c r="J120" s="607"/>
      <c r="K120" s="607"/>
    </row>
    <row r="121" spans="1:12" ht="23.1" customHeight="1" x14ac:dyDescent="0.25">
      <c r="A121" s="1959" t="s">
        <v>805</v>
      </c>
      <c r="B121" s="1959"/>
      <c r="C121" s="1959"/>
      <c r="D121" s="1959"/>
      <c r="E121" s="1959"/>
      <c r="F121" s="1959"/>
      <c r="G121" s="51"/>
      <c r="H121" s="51"/>
      <c r="I121" s="51"/>
      <c r="J121" s="51"/>
      <c r="K121" s="51"/>
    </row>
    <row r="122" spans="1:12" ht="12" customHeight="1" x14ac:dyDescent="0.25">
      <c r="A122" s="55"/>
      <c r="B122" s="55"/>
      <c r="C122" s="55"/>
      <c r="D122" s="55"/>
      <c r="E122" s="55"/>
      <c r="F122" s="55"/>
      <c r="G122" s="51"/>
      <c r="H122" s="51"/>
      <c r="I122" s="51"/>
      <c r="J122" s="51"/>
      <c r="K122" s="51"/>
    </row>
    <row r="123" spans="1:12" ht="23.1" customHeight="1" x14ac:dyDescent="0.25">
      <c r="A123" s="1490" t="s">
        <v>806</v>
      </c>
      <c r="B123" s="1954" t="s">
        <v>807</v>
      </c>
      <c r="C123" s="1954"/>
      <c r="D123" s="1954"/>
      <c r="E123" s="1954"/>
      <c r="F123" s="1954"/>
      <c r="G123" s="1954"/>
      <c r="H123" s="1954"/>
      <c r="I123" s="1954"/>
      <c r="J123" s="1954"/>
      <c r="K123" s="1954"/>
      <c r="L123" s="1954"/>
    </row>
    <row r="124" spans="1:12" ht="23.1" customHeight="1" x14ac:dyDescent="0.25">
      <c r="A124" s="1490" t="s">
        <v>806</v>
      </c>
      <c r="B124" s="1954" t="s">
        <v>808</v>
      </c>
      <c r="C124" s="1954"/>
      <c r="D124" s="1954"/>
      <c r="E124" s="1954"/>
      <c r="F124" s="1954"/>
      <c r="G124" s="1954"/>
      <c r="H124" s="1954"/>
      <c r="I124" s="1954"/>
      <c r="J124" s="1954"/>
      <c r="K124" s="1954"/>
      <c r="L124" s="1954"/>
    </row>
    <row r="125" spans="1:12" ht="33" customHeight="1" x14ac:dyDescent="0.25">
      <c r="A125" s="1490" t="s">
        <v>806</v>
      </c>
      <c r="B125" s="1954" t="s">
        <v>809</v>
      </c>
      <c r="C125" s="1954"/>
      <c r="D125" s="1954"/>
      <c r="E125" s="1954"/>
      <c r="F125" s="1954"/>
      <c r="G125" s="1954"/>
      <c r="H125" s="1954"/>
      <c r="I125" s="1954"/>
      <c r="J125" s="1954"/>
      <c r="K125" s="1954"/>
      <c r="L125" s="1954"/>
    </row>
    <row r="126" spans="1:12" s="773" customFormat="1" ht="23.1" customHeight="1" x14ac:dyDescent="0.25">
      <c r="A126" s="1490" t="s">
        <v>806</v>
      </c>
      <c r="B126" s="1954" t="s">
        <v>810</v>
      </c>
      <c r="C126" s="1954"/>
      <c r="D126" s="1954"/>
      <c r="E126" s="1954"/>
      <c r="F126" s="1954"/>
      <c r="G126" s="1954"/>
      <c r="H126" s="1954"/>
      <c r="I126" s="1954"/>
      <c r="J126" s="1954"/>
      <c r="K126" s="1954"/>
      <c r="L126" s="1954"/>
    </row>
    <row r="127" spans="1:12" s="773" customFormat="1" ht="23.1" customHeight="1" x14ac:dyDescent="0.25">
      <c r="A127" s="1490" t="s">
        <v>806</v>
      </c>
      <c r="B127" s="1954" t="s">
        <v>812</v>
      </c>
      <c r="C127" s="1954"/>
      <c r="D127" s="1954"/>
      <c r="E127" s="1954"/>
      <c r="F127" s="1954"/>
      <c r="G127" s="1954"/>
      <c r="H127" s="1954"/>
      <c r="I127" s="1954"/>
      <c r="J127" s="1954"/>
      <c r="K127" s="1954"/>
      <c r="L127" s="1954"/>
    </row>
    <row r="128" spans="1:12" s="773" customFormat="1" ht="23.1" customHeight="1" x14ac:dyDescent="0.25">
      <c r="A128" s="1490" t="s">
        <v>806</v>
      </c>
      <c r="B128" s="1954" t="s">
        <v>811</v>
      </c>
      <c r="C128" s="1954"/>
      <c r="D128" s="1954"/>
      <c r="E128" s="1954"/>
      <c r="F128" s="1954"/>
      <c r="G128" s="1954"/>
      <c r="H128" s="1954"/>
      <c r="I128" s="1954"/>
      <c r="J128" s="1954"/>
      <c r="K128" s="1954"/>
      <c r="L128" s="1954"/>
    </row>
    <row r="129" spans="1:12" ht="23.1" customHeight="1" x14ac:dyDescent="0.25">
      <c r="A129" s="1490" t="s">
        <v>806</v>
      </c>
      <c r="B129" s="1954" t="s">
        <v>813</v>
      </c>
      <c r="C129" s="1954"/>
      <c r="D129" s="1954"/>
      <c r="E129" s="1954"/>
      <c r="F129" s="1954"/>
      <c r="G129" s="1954"/>
      <c r="H129" s="1954"/>
      <c r="I129" s="1954"/>
      <c r="J129" s="1954"/>
      <c r="K129" s="1954"/>
      <c r="L129" s="1954"/>
    </row>
    <row r="130" spans="1:12" s="773" customFormat="1" ht="23.1" customHeight="1" x14ac:dyDescent="0.25">
      <c r="A130" s="1490" t="s">
        <v>806</v>
      </c>
      <c r="B130" s="1954" t="s">
        <v>814</v>
      </c>
      <c r="C130" s="1954"/>
      <c r="D130" s="1954"/>
      <c r="E130" s="1954"/>
      <c r="F130" s="1954"/>
      <c r="G130" s="1954"/>
      <c r="H130" s="1954"/>
      <c r="I130" s="1954"/>
      <c r="J130" s="1954"/>
      <c r="K130" s="1954"/>
      <c r="L130" s="1954"/>
    </row>
    <row r="131" spans="1:12" s="773" customFormat="1" ht="23.1" customHeight="1" x14ac:dyDescent="0.25">
      <c r="A131" s="1490" t="s">
        <v>815</v>
      </c>
      <c r="B131" s="1954" t="s">
        <v>831</v>
      </c>
      <c r="C131" s="1954"/>
      <c r="D131" s="1954"/>
      <c r="E131" s="1954"/>
      <c r="F131" s="1954"/>
      <c r="G131" s="1954"/>
      <c r="H131" s="1954"/>
      <c r="I131" s="1954"/>
      <c r="J131" s="1954"/>
      <c r="K131" s="1954"/>
      <c r="L131" s="1954"/>
    </row>
    <row r="132" spans="1:12" ht="23.1" customHeight="1" x14ac:dyDescent="0.25">
      <c r="A132" s="1490" t="s">
        <v>815</v>
      </c>
      <c r="B132" s="1954" t="s">
        <v>832</v>
      </c>
      <c r="C132" s="1954"/>
      <c r="D132" s="1954"/>
      <c r="E132" s="1954"/>
      <c r="F132" s="1954"/>
      <c r="G132" s="1954"/>
      <c r="H132" s="1954"/>
      <c r="I132" s="1954"/>
      <c r="J132" s="1954"/>
      <c r="K132" s="1954"/>
      <c r="L132" s="1954"/>
    </row>
    <row r="133" spans="1:12" ht="23.1" customHeight="1" x14ac:dyDescent="0.25">
      <c r="A133" s="1491" t="s">
        <v>806</v>
      </c>
      <c r="B133" s="1954" t="s">
        <v>816</v>
      </c>
      <c r="C133" s="1954"/>
      <c r="D133" s="1954"/>
      <c r="E133" s="1954"/>
      <c r="F133" s="1954"/>
      <c r="G133" s="1954"/>
      <c r="H133" s="1954"/>
      <c r="I133" s="1954"/>
      <c r="J133" s="1954"/>
      <c r="K133" s="1954"/>
      <c r="L133" s="1954"/>
    </row>
    <row r="134" spans="1:12" ht="33" customHeight="1" x14ac:dyDescent="0.25">
      <c r="A134" s="1490" t="s">
        <v>806</v>
      </c>
      <c r="B134" s="1954" t="s">
        <v>817</v>
      </c>
      <c r="C134" s="1954"/>
      <c r="D134" s="1954"/>
      <c r="E134" s="1954"/>
      <c r="F134" s="1954"/>
      <c r="G134" s="1954"/>
      <c r="H134" s="1954"/>
      <c r="I134" s="1954"/>
      <c r="J134" s="1954"/>
      <c r="K134" s="1954"/>
      <c r="L134" s="1954"/>
    </row>
    <row r="135" spans="1:12" ht="23.1" customHeight="1" x14ac:dyDescent="0.25">
      <c r="A135" s="1490" t="s">
        <v>806</v>
      </c>
      <c r="B135" s="1954" t="s">
        <v>818</v>
      </c>
      <c r="C135" s="1954"/>
      <c r="D135" s="1954"/>
      <c r="E135" s="1954"/>
      <c r="F135" s="1954"/>
      <c r="G135" s="1954"/>
      <c r="H135" s="1954"/>
      <c r="I135" s="1954"/>
      <c r="J135" s="1954"/>
      <c r="K135" s="1954"/>
      <c r="L135" s="1954"/>
    </row>
    <row r="136" spans="1:12" ht="23.1" customHeight="1" x14ac:dyDescent="0.25">
      <c r="A136" s="1490" t="s">
        <v>806</v>
      </c>
      <c r="B136" s="1954" t="s">
        <v>819</v>
      </c>
      <c r="C136" s="1954"/>
      <c r="D136" s="1954"/>
      <c r="E136" s="1954"/>
      <c r="F136" s="1954"/>
      <c r="G136" s="1954"/>
      <c r="H136" s="1954"/>
      <c r="I136" s="1954"/>
      <c r="J136" s="1954"/>
      <c r="K136" s="1954"/>
      <c r="L136" s="1954"/>
    </row>
    <row r="137" spans="1:12" ht="23.1" customHeight="1" x14ac:dyDescent="0.25">
      <c r="A137" s="1490" t="s">
        <v>806</v>
      </c>
      <c r="B137" s="1954" t="s">
        <v>820</v>
      </c>
      <c r="C137" s="1954"/>
      <c r="D137" s="1954"/>
      <c r="E137" s="1954"/>
      <c r="F137" s="1954"/>
      <c r="G137" s="1954"/>
      <c r="H137" s="1954"/>
      <c r="I137" s="1954"/>
      <c r="J137" s="1954"/>
      <c r="K137" s="1954"/>
      <c r="L137" s="1954"/>
    </row>
    <row r="138" spans="1:12" ht="23.1" customHeight="1" x14ac:dyDescent="0.25">
      <c r="A138" s="1490" t="s">
        <v>806</v>
      </c>
      <c r="B138" s="1954" t="s">
        <v>821</v>
      </c>
      <c r="C138" s="1954"/>
      <c r="D138" s="1954"/>
      <c r="E138" s="1954"/>
      <c r="F138" s="1954"/>
      <c r="G138" s="1954"/>
      <c r="H138" s="1954"/>
      <c r="I138" s="1954"/>
      <c r="J138" s="1954"/>
      <c r="K138" s="1954"/>
      <c r="L138" s="1954"/>
    </row>
    <row r="139" spans="1:12" ht="23.1" customHeight="1" x14ac:dyDescent="0.25">
      <c r="A139" s="1490" t="s">
        <v>806</v>
      </c>
      <c r="B139" s="1954" t="s">
        <v>822</v>
      </c>
      <c r="C139" s="1954"/>
      <c r="D139" s="1954"/>
      <c r="E139" s="1954"/>
      <c r="F139" s="1954"/>
      <c r="G139" s="1954"/>
      <c r="H139" s="1954"/>
      <c r="I139" s="1954"/>
      <c r="J139" s="1954"/>
      <c r="K139" s="1954"/>
      <c r="L139" s="1954"/>
    </row>
    <row r="140" spans="1:12" ht="23.1" customHeight="1" x14ac:dyDescent="0.25">
      <c r="A140" s="1490" t="s">
        <v>815</v>
      </c>
      <c r="B140" s="1954" t="s">
        <v>823</v>
      </c>
      <c r="C140" s="1954"/>
      <c r="D140" s="1954"/>
      <c r="E140" s="1954"/>
      <c r="F140" s="1954"/>
      <c r="G140" s="1954"/>
      <c r="H140" s="1954"/>
      <c r="I140" s="1954"/>
      <c r="J140" s="1954"/>
      <c r="K140" s="1954"/>
      <c r="L140" s="1954"/>
    </row>
    <row r="141" spans="1:12" ht="15" customHeight="1" x14ac:dyDescent="0.25">
      <c r="E141" s="51"/>
      <c r="F141" s="51"/>
      <c r="G141" s="51"/>
      <c r="H141" s="51"/>
      <c r="I141" s="51"/>
      <c r="J141" s="51"/>
      <c r="K141" s="51"/>
    </row>
    <row r="142" spans="1:12" ht="15" customHeight="1" x14ac:dyDescent="0.25">
      <c r="A142" s="2018" t="s">
        <v>824</v>
      </c>
      <c r="B142" s="2018"/>
      <c r="C142" s="2018"/>
      <c r="D142" s="2018"/>
      <c r="E142" s="51"/>
      <c r="F142" s="51"/>
      <c r="G142" s="51"/>
      <c r="H142" s="51"/>
      <c r="I142" s="51"/>
      <c r="J142" s="51"/>
      <c r="K142" s="51"/>
    </row>
    <row r="143" spans="1:12" ht="15" customHeight="1" x14ac:dyDescent="0.25">
      <c r="A143" s="451"/>
      <c r="B143" s="451"/>
      <c r="C143" s="451"/>
      <c r="D143" s="451"/>
      <c r="E143" s="51"/>
      <c r="F143" s="51"/>
      <c r="G143" s="51"/>
      <c r="H143" s="51"/>
      <c r="I143" s="51"/>
      <c r="J143" s="51"/>
      <c r="K143" s="51"/>
    </row>
    <row r="144" spans="1:12" ht="15" customHeight="1" x14ac:dyDescent="0.25">
      <c r="A144" s="51"/>
      <c r="B144" s="51"/>
      <c r="C144" s="51"/>
      <c r="D144" s="51"/>
      <c r="E144" s="51"/>
      <c r="F144" s="51"/>
      <c r="G144" s="51"/>
      <c r="H144" s="51"/>
      <c r="I144" s="51"/>
      <c r="J144" s="51"/>
      <c r="K144" s="51"/>
    </row>
    <row r="145" spans="1:12" ht="15" customHeight="1" x14ac:dyDescent="0.25">
      <c r="A145" s="51"/>
      <c r="B145" s="51"/>
      <c r="C145" s="51"/>
      <c r="D145" s="51"/>
      <c r="E145" s="51"/>
      <c r="F145" s="51"/>
      <c r="G145" s="51"/>
      <c r="H145" s="51"/>
      <c r="I145" s="51"/>
      <c r="J145" s="51"/>
      <c r="K145" s="51"/>
    </row>
    <row r="146" spans="1:12" ht="15" customHeight="1" x14ac:dyDescent="0.25">
      <c r="A146" s="826"/>
      <c r="B146" s="2027"/>
      <c r="C146" s="2027"/>
      <c r="D146" s="2027"/>
      <c r="E146" s="2027"/>
      <c r="F146" s="51"/>
      <c r="G146" s="51"/>
      <c r="H146" s="2027"/>
      <c r="I146" s="2027"/>
      <c r="J146" s="2027"/>
      <c r="K146" s="2027"/>
      <c r="L146" s="826"/>
    </row>
    <row r="147" spans="1:12" ht="15" customHeight="1" x14ac:dyDescent="0.25">
      <c r="A147" s="51"/>
      <c r="B147" s="2026" t="s">
        <v>825</v>
      </c>
      <c r="C147" s="2026"/>
      <c r="D147" s="2026"/>
      <c r="E147" s="2026"/>
      <c r="F147" s="50"/>
      <c r="G147" s="50"/>
      <c r="H147" s="2026" t="s">
        <v>826</v>
      </c>
      <c r="I147" s="2026"/>
      <c r="J147" s="2026"/>
      <c r="K147" s="2026"/>
    </row>
    <row r="148" spans="1:12" ht="33" customHeight="1" x14ac:dyDescent="0.25">
      <c r="B148" s="1524" t="e">
        <f>VLOOKUP(A146,'DATOS ¬'!P9:U12,4,FALSE)</f>
        <v>#N/A</v>
      </c>
      <c r="C148" s="1524"/>
      <c r="D148" s="1524"/>
      <c r="E148" s="1524"/>
      <c r="F148" s="50"/>
      <c r="G148" s="50"/>
      <c r="H148" s="1524" t="e">
        <f>VLOOKUP(L146,'DATOS ¬'!P9:U12,6,FALSE)</f>
        <v>#N/A</v>
      </c>
      <c r="I148" s="1524"/>
      <c r="J148" s="1524"/>
      <c r="K148" s="1524"/>
    </row>
    <row r="149" spans="1:12" ht="23.1" customHeight="1" x14ac:dyDescent="0.25">
      <c r="A149" s="51"/>
      <c r="B149" s="1524" t="e">
        <f>VLOOKUP(A146,'DATOS ¬'!P9:U12,2,FALSE)</f>
        <v>#N/A</v>
      </c>
      <c r="C149" s="1524"/>
      <c r="D149" s="1524"/>
      <c r="E149" s="1524"/>
      <c r="F149" s="50"/>
      <c r="G149" s="50"/>
      <c r="H149" s="1524" t="e">
        <f>VLOOKUP(L146,'DATOS ¬'!P9:U12,2,FALSE)</f>
        <v>#N/A</v>
      </c>
      <c r="I149" s="1524"/>
      <c r="J149" s="1524"/>
      <c r="K149" s="1524"/>
    </row>
    <row r="150" spans="1:12" ht="15" customHeight="1" x14ac:dyDescent="0.25">
      <c r="D150" s="51"/>
      <c r="E150" s="51"/>
      <c r="F150" s="51"/>
      <c r="G150" s="51"/>
      <c r="H150" s="51"/>
      <c r="I150" s="51"/>
      <c r="J150" s="51"/>
      <c r="K150" s="51"/>
    </row>
    <row r="151" spans="1:12" ht="23.1" customHeight="1" x14ac:dyDescent="0.25">
      <c r="A151" s="51"/>
      <c r="B151" s="1956" t="s">
        <v>827</v>
      </c>
      <c r="C151" s="1956"/>
      <c r="D151" s="421"/>
      <c r="E151" s="53"/>
      <c r="F151" s="53"/>
      <c r="G151" s="683"/>
      <c r="H151" s="683"/>
      <c r="I151" s="1956" t="s">
        <v>828</v>
      </c>
      <c r="J151" s="1956"/>
      <c r="K151" s="421"/>
    </row>
    <row r="152" spans="1:12" ht="15" customHeight="1" x14ac:dyDescent="0.25">
      <c r="A152" s="51"/>
      <c r="J152" s="51"/>
      <c r="K152" s="51"/>
    </row>
    <row r="153" spans="1:12" ht="15.75" customHeight="1" x14ac:dyDescent="0.25">
      <c r="A153" s="1524" t="s">
        <v>829</v>
      </c>
      <c r="B153" s="1524"/>
      <c r="C153" s="1524"/>
      <c r="D153" s="1524"/>
      <c r="E153" s="1524"/>
      <c r="F153" s="1524"/>
      <c r="G153" s="1524"/>
      <c r="H153" s="1524"/>
      <c r="I153" s="1524"/>
      <c r="J153" s="1524"/>
      <c r="K153" s="1524"/>
    </row>
  </sheetData>
  <sheetProtection password="CF5C" sheet="1" objects="1" scenarios="1"/>
  <mergeCells count="150">
    <mergeCell ref="B151:C151"/>
    <mergeCell ref="I151:J151"/>
    <mergeCell ref="A153:K153"/>
    <mergeCell ref="E19:L19"/>
    <mergeCell ref="B147:E147"/>
    <mergeCell ref="H147:K147"/>
    <mergeCell ref="B148:E148"/>
    <mergeCell ref="H148:K148"/>
    <mergeCell ref="B149:E149"/>
    <mergeCell ref="H149:K149"/>
    <mergeCell ref="B138:L138"/>
    <mergeCell ref="B139:L139"/>
    <mergeCell ref="B140:L140"/>
    <mergeCell ref="A142:D142"/>
    <mergeCell ref="B146:E146"/>
    <mergeCell ref="H146:K146"/>
    <mergeCell ref="B132:L132"/>
    <mergeCell ref="B133:L133"/>
    <mergeCell ref="B134:L134"/>
    <mergeCell ref="B135:L135"/>
    <mergeCell ref="B136:L136"/>
    <mergeCell ref="B137:L137"/>
    <mergeCell ref="B126:L126"/>
    <mergeCell ref="B127:L127"/>
    <mergeCell ref="B128:L128"/>
    <mergeCell ref="B129:L129"/>
    <mergeCell ref="B130:L130"/>
    <mergeCell ref="B131:L131"/>
    <mergeCell ref="F116:G116"/>
    <mergeCell ref="E117:E119"/>
    <mergeCell ref="A121:F121"/>
    <mergeCell ref="B123:L123"/>
    <mergeCell ref="B124:L124"/>
    <mergeCell ref="B125:L125"/>
    <mergeCell ref="A103:L103"/>
    <mergeCell ref="H110:I110"/>
    <mergeCell ref="J110:K110"/>
    <mergeCell ref="A111:E111"/>
    <mergeCell ref="A113:E113"/>
    <mergeCell ref="A115:I115"/>
    <mergeCell ref="F97:G97"/>
    <mergeCell ref="A98:B101"/>
    <mergeCell ref="C98:D98"/>
    <mergeCell ref="K98:K101"/>
    <mergeCell ref="C99:D99"/>
    <mergeCell ref="C100:D100"/>
    <mergeCell ref="C101:D101"/>
    <mergeCell ref="A90:B90"/>
    <mergeCell ref="C90:E90"/>
    <mergeCell ref="F90:G90"/>
    <mergeCell ref="A91:B94"/>
    <mergeCell ref="C91:D91"/>
    <mergeCell ref="K91:K94"/>
    <mergeCell ref="C92:D92"/>
    <mergeCell ref="C93:D93"/>
    <mergeCell ref="C94:D94"/>
    <mergeCell ref="A85:C85"/>
    <mergeCell ref="E85:F85"/>
    <mergeCell ref="G85:H85"/>
    <mergeCell ref="I85:J85"/>
    <mergeCell ref="A87:K87"/>
    <mergeCell ref="A89:I89"/>
    <mergeCell ref="A83:C83"/>
    <mergeCell ref="E83:F83"/>
    <mergeCell ref="G83:H83"/>
    <mergeCell ref="I83:J83"/>
    <mergeCell ref="A84:C84"/>
    <mergeCell ref="E84:F84"/>
    <mergeCell ref="G84:H84"/>
    <mergeCell ref="I84:J84"/>
    <mergeCell ref="A79:L79"/>
    <mergeCell ref="A81:C81"/>
    <mergeCell ref="E81:F81"/>
    <mergeCell ref="G81:H81"/>
    <mergeCell ref="I81:J81"/>
    <mergeCell ref="A82:C82"/>
    <mergeCell ref="E82:F82"/>
    <mergeCell ref="G82:H82"/>
    <mergeCell ref="I82:J82"/>
    <mergeCell ref="I68:J68"/>
    <mergeCell ref="H72:I72"/>
    <mergeCell ref="J72:K72"/>
    <mergeCell ref="A73:E73"/>
    <mergeCell ref="A75:L75"/>
    <mergeCell ref="A77:E77"/>
    <mergeCell ref="A62:E62"/>
    <mergeCell ref="A64:L64"/>
    <mergeCell ref="C66:D66"/>
    <mergeCell ref="E66:F66"/>
    <mergeCell ref="G66:H66"/>
    <mergeCell ref="I67:J67"/>
    <mergeCell ref="C54:J54"/>
    <mergeCell ref="C55:K55"/>
    <mergeCell ref="C56:J56"/>
    <mergeCell ref="C57:K57"/>
    <mergeCell ref="C58:J58"/>
    <mergeCell ref="C59:G59"/>
    <mergeCell ref="C44:K45"/>
    <mergeCell ref="C47:K47"/>
    <mergeCell ref="C49:K49"/>
    <mergeCell ref="C51:K51"/>
    <mergeCell ref="C52:J52"/>
    <mergeCell ref="C53:K53"/>
    <mergeCell ref="A29:H29"/>
    <mergeCell ref="A31:L31"/>
    <mergeCell ref="H36:I36"/>
    <mergeCell ref="J36:K36"/>
    <mergeCell ref="A40:B40"/>
    <mergeCell ref="C42:K42"/>
    <mergeCell ref="A22:D22"/>
    <mergeCell ref="E22:H22"/>
    <mergeCell ref="A23:K23"/>
    <mergeCell ref="A25:K25"/>
    <mergeCell ref="A26:K26"/>
    <mergeCell ref="A27:D27"/>
    <mergeCell ref="E27:F27"/>
    <mergeCell ref="A19:D19"/>
    <mergeCell ref="S19:W19"/>
    <mergeCell ref="A20:D20"/>
    <mergeCell ref="A21:D21"/>
    <mergeCell ref="E21:L21"/>
    <mergeCell ref="S21:U21"/>
    <mergeCell ref="W21:Y21"/>
    <mergeCell ref="A16:D16"/>
    <mergeCell ref="E16:L16"/>
    <mergeCell ref="A17:D17"/>
    <mergeCell ref="E17:L17"/>
    <mergeCell ref="A18:D18"/>
    <mergeCell ref="E18:L18"/>
    <mergeCell ref="A14:D14"/>
    <mergeCell ref="E14:L14"/>
    <mergeCell ref="A15:D15"/>
    <mergeCell ref="E15:L15"/>
    <mergeCell ref="A7:B7"/>
    <mergeCell ref="D7:K7"/>
    <mergeCell ref="A8:B8"/>
    <mergeCell ref="D8:K8"/>
    <mergeCell ref="A10:C10"/>
    <mergeCell ref="D10:E10"/>
    <mergeCell ref="H10:I10"/>
    <mergeCell ref="J10:K10"/>
    <mergeCell ref="A1:K1"/>
    <mergeCell ref="H3:I3"/>
    <mergeCell ref="J3:K3"/>
    <mergeCell ref="A4:D4"/>
    <mergeCell ref="A6:B6"/>
    <mergeCell ref="D6:K6"/>
    <mergeCell ref="A11:B11"/>
    <mergeCell ref="D11:F11"/>
    <mergeCell ref="A12:J12"/>
  </mergeCells>
  <pageMargins left="0.70866141732283472" right="0.70866141732283472" top="0.74803149606299213" bottom="0.74803149606299213" header="0.31496062992125984" footer="0.31496062992125984"/>
  <pageSetup scale="60" orientation="portrait" r:id="rId1"/>
  <headerFooter>
    <oddHeader>&amp;CMODIFICACIÓN AL CERTIFICADO DE CALIBRACIÓN DE RECIPIENTES VOLUMÉTRICOS USANDO EL MÉTODO GRAVIMÉTRICO</oddHeader>
    <oddFooter xml:space="preserve">&amp;RRT03-F54 Vr.1 (2022-03-18)
&amp;P de 4 </oddFooter>
  </headerFooter>
  <rowBreaks count="3" manualBreakCount="3">
    <brk id="33" max="11" man="1"/>
    <brk id="69" max="11" man="1"/>
    <brk id="107" max="11" man="1"/>
  </rowBreaks>
  <colBreaks count="1" manualBreakCount="1">
    <brk id="12" max="160" man="1"/>
  </col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A39F3E4-EACB-4C3E-B06D-FDD3B371A713}">
            <xm:f>NOT(ISERROR(SEARCH($F$98,F111)))</xm:f>
            <xm:f>$F$98</xm:f>
            <x14:dxf>
              <font>
                <b/>
                <i val="0"/>
              </font>
            </x14:dxf>
          </x14:cfRule>
          <x14:cfRule type="containsText" priority="2" stopIfTrue="1" operator="containsText" id="{CCD8BF11-86E6-463B-A045-85C77B82C8E9}">
            <xm:f>NOT(ISERROR(SEARCH($F$98,F111)))</xm:f>
            <xm:f>$F$98</xm:f>
            <x14:dxf>
              <font>
                <b/>
                <i val="0"/>
                <color auto="1"/>
              </font>
              <fill>
                <patternFill>
                  <bgColor rgb="FFFFC7CE"/>
                </patternFill>
              </fill>
            </x14:dxf>
          </x14:cfRule>
          <xm:sqref>F111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'DATOS ¬'!$P$9:$P$12</xm:f>
          </x14:formula1>
          <xm:sqref>A146 L146</xm:sqref>
        </x14:dataValidation>
        <x14:dataValidation type="list" allowBlank="1" showInputMessage="1" showErrorMessage="1">
          <x14:formula1>
            <xm:f>'DATOS ¬'!$Q$26:$Q$28</xm:f>
          </x14:formula1>
          <xm:sqref>B68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1C81F78A526C244A20286E28DE88E1E" ma:contentTypeVersion="16" ma:contentTypeDescription="Crear nuevo documento." ma:contentTypeScope="" ma:versionID="d713bc3fed25671c6e33f379168f2f9c">
  <xsd:schema xmlns:xsd="http://www.w3.org/2001/XMLSchema" xmlns:xs="http://www.w3.org/2001/XMLSchema" xmlns:p="http://schemas.microsoft.com/office/2006/metadata/properties" xmlns:ns2="28630930-25e8-416c-ab3b-3d3f0eb88142" xmlns:ns3="41a0376a-4913-43ea-bca5-b9259b3c65a0" targetNamespace="http://schemas.microsoft.com/office/2006/metadata/properties" ma:root="true" ma:fieldsID="dc3d2e819729881705429c641e717553" ns2:_="" ns3:_="">
    <xsd:import namespace="28630930-25e8-416c-ab3b-3d3f0eb88142"/>
    <xsd:import namespace="41a0376a-4913-43ea-bca5-b9259b3c65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30930-25e8-416c-ab3b-3d3f0eb881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33d804f7-ca46-4700-9da3-18b907134a7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a0376a-4913-43ea-bca5-b9259b3c65a0"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7976e945-0c06-40c7-9ba4-a80e2af427e4}" ma:internalName="TaxCatchAll" ma:showField="CatchAllData" ma:web="41a0376a-4913-43ea-bca5-b9259b3c65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8630930-25e8-416c-ab3b-3d3f0eb88142">
      <Terms xmlns="http://schemas.microsoft.com/office/infopath/2007/PartnerControls"/>
    </lcf76f155ced4ddcb4097134ff3c332f>
    <TaxCatchAll xmlns="41a0376a-4913-43ea-bca5-b9259b3c65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09DDF8-787C-4F29-950A-F0EFA3D07A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30930-25e8-416c-ab3b-3d3f0eb88142"/>
    <ds:schemaRef ds:uri="41a0376a-4913-43ea-bca5-b9259b3c65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5D901E-186A-4A05-B087-A4EB9795F8A4}">
  <ds:schemaRefs>
    <ds:schemaRef ds:uri="http://purl.org/dc/elements/1.1/"/>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28630930-25e8-416c-ab3b-3d3f0eb88142"/>
    <ds:schemaRef ds:uri="41a0376a-4913-43ea-bca5-b9259b3c65a0"/>
    <ds:schemaRef ds:uri="http://purl.org/dc/dcmitype/"/>
  </ds:schemaRefs>
</ds:datastoreItem>
</file>

<file path=customXml/itemProps3.xml><?xml version="1.0" encoding="utf-8"?>
<ds:datastoreItem xmlns:ds="http://schemas.openxmlformats.org/officeDocument/2006/customXml" ds:itemID="{7164F172-5FF9-4072-A1CD-7C36767D8D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12</vt:i4>
      </vt:variant>
    </vt:vector>
  </HeadingPairs>
  <TitlesOfParts>
    <vt:vector size="21" baseType="lpstr">
      <vt:lpstr>DATOS ¬</vt:lpstr>
      <vt:lpstr>RT03-F52 ¬ </vt:lpstr>
      <vt:lpstr>Despues de ajuste RT03-F52 ¬</vt:lpstr>
      <vt:lpstr>PC ¬</vt:lpstr>
      <vt:lpstr>Máx. y Mín. ¬</vt:lpstr>
      <vt:lpstr>CALIBRACIÓN DE LA ESCALA ¬</vt:lpstr>
      <vt:lpstr>CMC ¬</vt:lpstr>
      <vt:lpstr>RT03-F53 ¬</vt:lpstr>
      <vt:lpstr>RT03-F54 ¬</vt:lpstr>
      <vt:lpstr>'RT03-F52 ¬ '!aCuatro</vt:lpstr>
      <vt:lpstr>'RT03-F52 ¬ '!aDos</vt:lpstr>
      <vt:lpstr>'DATOS ¬'!Área_de_impresión</vt:lpstr>
      <vt:lpstr>'Máx. y Mín. ¬'!Área_de_impresión</vt:lpstr>
      <vt:lpstr>'RT03-F52 ¬ '!Área_de_impresión</vt:lpstr>
      <vt:lpstr>'RT03-F53 ¬'!Área_de_impresión</vt:lpstr>
      <vt:lpstr>'RT03-F54 ¬'!Área_de_impresión</vt:lpstr>
      <vt:lpstr>'RT03-F52 ¬ '!aTres</vt:lpstr>
      <vt:lpstr>'RT03-F52 ¬ '!p</vt:lpstr>
      <vt:lpstr>'RT03-F52 ¬ '!sCero</vt:lpstr>
      <vt:lpstr>'RT03-F52 ¬ '!sUno</vt:lpstr>
      <vt:lpstr>'RT03-F52 ¬ '!t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Laboratorio de Volumen SIC</dc:creator>
  <cp:lastModifiedBy>LAURA JOHANNA FORERO TORRES</cp:lastModifiedBy>
  <cp:revision/>
  <dcterms:created xsi:type="dcterms:W3CDTF">2015-11-06T23:47:29Z</dcterms:created>
  <dcterms:modified xsi:type="dcterms:W3CDTF">2023-06-06T20:00:48Z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722878</vt:i4>
  </property>
  <property fmtid="{D5CDD505-2E9C-101B-9397-08002B2CF9AE}" pid="3" name="ContentTypeId">
    <vt:lpwstr>0x010100B1C81F78A526C244A20286E28DE88E1E</vt:lpwstr>
  </property>
  <property fmtid="{D5CDD505-2E9C-101B-9397-08002B2CF9AE}" pid="4" name="MediaServiceImageTags">
    <vt:lpwstr/>
  </property>
</Properties>
</file>